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88" firstSheet="1" activeTab="1"/>
  </bookViews>
  <sheets>
    <sheet name="NDI_Reference" sheetId="1" state="hidden" r:id="rId1"/>
    <sheet name="STUDIO - BANK FIN" sheetId="2" r:id="rId2"/>
    <sheet name="1 BEDROOM" sheetId="3" state="hidden" r:id="rId3"/>
    <sheet name="STUDIO - DEFERRED" sheetId="4" r:id="rId4"/>
    <sheet name="2 BEDROOM - BANK FIN" sheetId="5" r:id="rId5"/>
    <sheet name="2 BEDROOM - DEFERRED" sheetId="6" r:id="rId6"/>
    <sheet name="3 BEDROOM - BANK FIN" sheetId="7" r:id="rId7"/>
    <sheet name="3 BEDROOM - DEFERRED" sheetId="8" r:id="rId8"/>
    <sheet name="3 BEDROOM" sheetId="9" state="hidden" r:id="rId9"/>
  </sheets>
  <definedNames>
    <definedName name="ACServiceFee" localSheetId="2">'1 BEDROOM'!$G$28</definedName>
    <definedName name="ACServiceFee" localSheetId="4">'2 BEDROOM - BANK FIN'!$G$28</definedName>
    <definedName name="ACServiceFee" localSheetId="5">'2 BEDROOM - DEFERRED'!$G$28</definedName>
    <definedName name="ACServiceFee" localSheetId="8">'3 BEDROOM'!$G$28</definedName>
    <definedName name="ACServiceFee" localSheetId="6">'3 BEDROOM - BANK FIN'!$G$28</definedName>
    <definedName name="ACServiceFee" localSheetId="7">'3 BEDROOM - DEFERRED'!$G$28</definedName>
    <definedName name="ACServiceFee" localSheetId="3">'STUDIO - DEFERRED'!$G$28</definedName>
    <definedName name="ACServiceFee">'STUDIO - BANK FIN'!$G$28</definedName>
    <definedName name="AllowedDefMonths" localSheetId="2">'1 BEDROOM'!$G$5</definedName>
    <definedName name="AllowedDefMonths" localSheetId="4">'2 BEDROOM - BANK FIN'!$G$5</definedName>
    <definedName name="AllowedDefMonths" localSheetId="5">'2 BEDROOM - DEFERRED'!$G$5</definedName>
    <definedName name="AllowedDefMonths" localSheetId="8">'3 BEDROOM'!$G$5</definedName>
    <definedName name="AllowedDefMonths" localSheetId="6">'3 BEDROOM - BANK FIN'!$G$5</definedName>
    <definedName name="AllowedDefMonths" localSheetId="7">'3 BEDROOM - DEFERRED'!$G$5</definedName>
    <definedName name="AllowedDefMonths" localSheetId="3">'STUDIO - DEFERRED'!$G$5</definedName>
    <definedName name="AllowedDefMonths">'STUDIO - BANK FIN'!$G$5</definedName>
    <definedName name="BookingDiscount" localSheetId="2">'1 BEDROOM'!$G$16</definedName>
    <definedName name="BookingDiscount" localSheetId="4">'2 BEDROOM - BANK FIN'!$G$16</definedName>
    <definedName name="BookingDiscount" localSheetId="5">'2 BEDROOM - DEFERRED'!$G$16</definedName>
    <definedName name="BookingDiscount" localSheetId="8">'3 BEDROOM'!$G$16</definedName>
    <definedName name="BookingDiscount" localSheetId="6">'3 BEDROOM - BANK FIN'!$G$16</definedName>
    <definedName name="BookingDiscount" localSheetId="7">'3 BEDROOM - DEFERRED'!$G$16</definedName>
    <definedName name="BookingDiscount" localSheetId="3">'STUDIO - DEFERRED'!$G$16</definedName>
    <definedName name="BookingDiscount">'STUDIO - BANK FIN'!$G$16</definedName>
    <definedName name="BulkDiscount" localSheetId="2">'1 BEDROOM'!$G$19</definedName>
    <definedName name="BulkDiscount" localSheetId="4">'2 BEDROOM - BANK FIN'!$G$19</definedName>
    <definedName name="BulkDiscount" localSheetId="5">'2 BEDROOM - DEFERRED'!$G$19</definedName>
    <definedName name="BulkDiscount" localSheetId="8">'3 BEDROOM'!$G$19</definedName>
    <definedName name="BulkDiscount" localSheetId="6">'3 BEDROOM - BANK FIN'!$G$19</definedName>
    <definedName name="BulkDiscount" localSheetId="7">'3 BEDROOM - DEFERRED'!$G$19</definedName>
    <definedName name="BulkDiscount" localSheetId="3">'STUDIO - DEFERRED'!$G$19</definedName>
    <definedName name="BulkDiscount">'STUDIO - BANK FIN'!$G$19</definedName>
    <definedName name="CommittedSalesDiscount" localSheetId="2">'1 BEDROOM'!$G$15</definedName>
    <definedName name="CommittedSalesDiscount" localSheetId="4">'2 BEDROOM - BANK FIN'!$G$15</definedName>
    <definedName name="CommittedSalesDiscount" localSheetId="5">'2 BEDROOM - DEFERRED'!$G$15</definedName>
    <definedName name="CommittedSalesDiscount" localSheetId="8">'3 BEDROOM'!$G$15</definedName>
    <definedName name="CommittedSalesDiscount" localSheetId="6">'3 BEDROOM - BANK FIN'!$G$15</definedName>
    <definedName name="CommittedSalesDiscount" localSheetId="7">'3 BEDROOM - DEFERRED'!$G$15</definedName>
    <definedName name="CommittedSalesDiscount" localSheetId="3">'STUDIO - DEFERRED'!$G$15</definedName>
    <definedName name="CommittedSalesDiscount">'STUDIO - BANK FIN'!$G$15</definedName>
    <definedName name="Discount1Desc" localSheetId="2">'1 BEDROOM'!$B$21</definedName>
    <definedName name="Discount1Desc" localSheetId="4">'2 BEDROOM - BANK FIN'!$B$21</definedName>
    <definedName name="Discount1Desc" localSheetId="5">'2 BEDROOM - DEFERRED'!$B$21</definedName>
    <definedName name="Discount1Desc" localSheetId="8">'3 BEDROOM'!$B$21</definedName>
    <definedName name="Discount1Desc" localSheetId="6">'3 BEDROOM - BANK FIN'!$B$21</definedName>
    <definedName name="Discount1Desc" localSheetId="7">'3 BEDROOM - DEFERRED'!$B$21</definedName>
    <definedName name="Discount1Desc" localSheetId="3">'STUDIO - DEFERRED'!$B$21</definedName>
    <definedName name="Discount1Desc">'STUDIO - BANK FIN'!$B$21</definedName>
    <definedName name="Discount1Value" localSheetId="2">'1 BEDROOM'!$G$21</definedName>
    <definedName name="Discount1Value" localSheetId="4">'2 BEDROOM - BANK FIN'!$G$21</definedName>
    <definedName name="Discount1Value" localSheetId="5">'2 BEDROOM - DEFERRED'!$G$21</definedName>
    <definedName name="Discount1Value" localSheetId="8">'3 BEDROOM'!$G$21</definedName>
    <definedName name="Discount1Value" localSheetId="6">'3 BEDROOM - BANK FIN'!$G$21</definedName>
    <definedName name="Discount1Value" localSheetId="7">'3 BEDROOM - DEFERRED'!$G$21</definedName>
    <definedName name="Discount1Value" localSheetId="3">'STUDIO - DEFERRED'!$G$21</definedName>
    <definedName name="Discount1Value">'STUDIO - BANK FIN'!$G$21</definedName>
    <definedName name="Discount2Desc" localSheetId="2">'1 BEDROOM'!$B$22</definedName>
    <definedName name="Discount2Desc" localSheetId="4">'2 BEDROOM - BANK FIN'!$B$22</definedName>
    <definedName name="Discount2Desc" localSheetId="5">'2 BEDROOM - DEFERRED'!$B$22</definedName>
    <definedName name="Discount2Desc" localSheetId="8">'3 BEDROOM'!$B$22</definedName>
    <definedName name="Discount2Desc" localSheetId="6">'3 BEDROOM - BANK FIN'!$B$22</definedName>
    <definedName name="Discount2Desc" localSheetId="7">'3 BEDROOM - DEFERRED'!$B$22</definedName>
    <definedName name="Discount2Desc" localSheetId="3">'STUDIO - DEFERRED'!$B$22</definedName>
    <definedName name="Discount2Desc">'STUDIO - BANK FIN'!$B$22</definedName>
    <definedName name="Discount2Value" localSheetId="2">'1 BEDROOM'!$G$22</definedName>
    <definedName name="Discount2Value" localSheetId="4">'2 BEDROOM - BANK FIN'!$G$22</definedName>
    <definedName name="Discount2Value" localSheetId="5">'2 BEDROOM - DEFERRED'!$G$22</definedName>
    <definedName name="Discount2Value" localSheetId="8">'3 BEDROOM'!$G$22</definedName>
    <definedName name="Discount2Value" localSheetId="6">'3 BEDROOM - BANK FIN'!$G$22</definedName>
    <definedName name="Discount2Value" localSheetId="7">'3 BEDROOM - DEFERRED'!$G$22</definedName>
    <definedName name="Discount2Value" localSheetId="3">'STUDIO - DEFERRED'!$G$22</definedName>
    <definedName name="Discount2Value">'STUDIO - BANK FIN'!$G$22</definedName>
    <definedName name="Downpayment" localSheetId="2">'1 BEDROOM'!$A$33</definedName>
    <definedName name="Downpayment" localSheetId="4">'2 BEDROOM - BANK FIN'!$A$33</definedName>
    <definedName name="Downpayment" localSheetId="5">'2 BEDROOM - DEFERRED'!$A$33</definedName>
    <definedName name="Downpayment" localSheetId="8">'3 BEDROOM'!$A$33</definedName>
    <definedName name="Downpayment" localSheetId="6">'3 BEDROOM - BANK FIN'!$A$33</definedName>
    <definedName name="Downpayment" localSheetId="7">'3 BEDROOM - DEFERRED'!$A$33</definedName>
    <definedName name="Downpayment" localSheetId="3">'STUDIO - DEFERRED'!$A$33</definedName>
    <definedName name="Downpayment">'STUDIO - BANK FIN'!$A$33</definedName>
    <definedName name="DPDate" localSheetId="2">'1 BEDROOM'!$F$41</definedName>
    <definedName name="DPDate" localSheetId="4">'2 BEDROOM - BANK FIN'!$F$41</definedName>
    <definedName name="DPDate" localSheetId="5">'2 BEDROOM - DEFERRED'!$F$36</definedName>
    <definedName name="DPDate" localSheetId="8">'3 BEDROOM'!$F$41</definedName>
    <definedName name="DPDate" localSheetId="6">'3 BEDROOM - BANK FIN'!$F$41</definedName>
    <definedName name="DPDate" localSheetId="7">'3 BEDROOM - DEFERRED'!$F$36</definedName>
    <definedName name="DPDate" localSheetId="3">'STUDIO - DEFERRED'!$F$36</definedName>
    <definedName name="DPDate">'STUDIO - BANK FIN'!$F$41</definedName>
    <definedName name="EmployeeDiscount" localSheetId="2">'1 BEDROOM'!$G$18</definedName>
    <definedName name="EmployeeDiscount" localSheetId="4">'2 BEDROOM - BANK FIN'!$G$18</definedName>
    <definedName name="EmployeeDiscount" localSheetId="5">'2 BEDROOM - DEFERRED'!$G$18</definedName>
    <definedName name="EmployeeDiscount" localSheetId="8">'3 BEDROOM'!$G$18</definedName>
    <definedName name="EmployeeDiscount" localSheetId="6">'3 BEDROOM - BANK FIN'!$G$18</definedName>
    <definedName name="EmployeeDiscount" localSheetId="7">'3 BEDROOM - DEFERRED'!$G$18</definedName>
    <definedName name="EmployeeDiscount" localSheetId="3">'STUDIO - DEFERRED'!$G$18</definedName>
    <definedName name="EmployeeDiscount">'STUDIO - BANK FIN'!$G$18</definedName>
    <definedName name="Floor" localSheetId="2">'1 BEDROOM'!$C$7</definedName>
    <definedName name="Floor" localSheetId="4">'2 BEDROOM - BANK FIN'!$C$7</definedName>
    <definedName name="Floor" localSheetId="5">'2 BEDROOM - DEFERRED'!$C$7</definedName>
    <definedName name="Floor" localSheetId="8">'3 BEDROOM'!$C$7</definedName>
    <definedName name="Floor" localSheetId="6">'3 BEDROOM - BANK FIN'!$C$7</definedName>
    <definedName name="Floor" localSheetId="7">'3 BEDROOM - DEFERRED'!$C$7</definedName>
    <definedName name="Floor" localSheetId="3">'STUDIO - DEFERRED'!$C$7</definedName>
    <definedName name="Floor">'STUDIO - BANK FIN'!$C$7</definedName>
    <definedName name="FloorArea" localSheetId="2">'1 BEDROOM'!$D$7</definedName>
    <definedName name="FloorArea" localSheetId="4">'2 BEDROOM - BANK FIN'!$D$7</definedName>
    <definedName name="FloorArea" localSheetId="5">'2 BEDROOM - DEFERRED'!$D$7</definedName>
    <definedName name="FloorArea" localSheetId="8">'3 BEDROOM'!$D$7</definedName>
    <definedName name="FloorArea" localSheetId="6">'3 BEDROOM - BANK FIN'!$D$7</definedName>
    <definedName name="FloorArea" localSheetId="7">'3 BEDROOM - DEFERRED'!$D$7</definedName>
    <definedName name="FloorArea" localSheetId="3">'STUDIO - DEFERRED'!$D$7</definedName>
    <definedName name="FloorArea">'STUDIO - BANK FIN'!$D$7</definedName>
    <definedName name="LumpOCDate" localSheetId="2">'1 BEDROOM'!$B$24</definedName>
    <definedName name="LumpOCDate" localSheetId="4">'2 BEDROOM - BANK FIN'!$B$24</definedName>
    <definedName name="LumpOCDate" localSheetId="5">'2 BEDROOM - DEFERRED'!$F$40</definedName>
    <definedName name="LumpOCDate" localSheetId="8">'3 BEDROOM'!$B$24</definedName>
    <definedName name="LumpOCDate" localSheetId="6">'3 BEDROOM - BANK FIN'!$B$24</definedName>
    <definedName name="LumpOCDate" localSheetId="7">'3 BEDROOM - DEFERRED'!$F$40</definedName>
    <definedName name="LumpOCDate" localSheetId="3">'STUDIO - DEFERRED'!$F$40</definedName>
    <definedName name="LumpOCDate">'STUDIO - BANK FIN'!$B$24</definedName>
    <definedName name="Mode" localSheetId="2">'1 BEDROOM'!$D$4</definedName>
    <definedName name="Mode" localSheetId="4">'2 BEDROOM - BANK FIN'!$D$4</definedName>
    <definedName name="Mode" localSheetId="5">'2 BEDROOM - DEFERRED'!$D$4</definedName>
    <definedName name="Mode" localSheetId="8">'3 BEDROOM'!$D$4</definedName>
    <definedName name="Mode" localSheetId="6">'3 BEDROOM - BANK FIN'!$D$4</definedName>
    <definedName name="Mode" localSheetId="7">'3 BEDROOM - DEFERRED'!$D$4</definedName>
    <definedName name="Mode" localSheetId="3">'STUDIO - DEFERRED'!$D$4</definedName>
    <definedName name="Mode">'STUDIO - BANK FIN'!$D$4</definedName>
    <definedName name="Model" localSheetId="2">'1 BEDROOM'!$F$7</definedName>
    <definedName name="Model" localSheetId="4">'2 BEDROOM - BANK FIN'!$F$7</definedName>
    <definedName name="Model" localSheetId="5">'2 BEDROOM - DEFERRED'!$F$7</definedName>
    <definedName name="Model" localSheetId="8">'3 BEDROOM'!$F$7</definedName>
    <definedName name="Model" localSheetId="6">'3 BEDROOM - BANK FIN'!$F$7</definedName>
    <definedName name="Model" localSheetId="7">'3 BEDROOM - DEFERRED'!$F$7</definedName>
    <definedName name="Model" localSheetId="3">'STUDIO - DEFERRED'!$F$7</definedName>
    <definedName name="Model">'STUDIO - BANK FIN'!$F$7</definedName>
    <definedName name="NoDPSchedule" localSheetId="2">'1 BEDROOM'!$A$47</definedName>
    <definedName name="NoDPSchedule" localSheetId="4">'2 BEDROOM - BANK FIN'!$A$47</definedName>
    <definedName name="NoDPSchedule" localSheetId="8">'3 BEDROOM'!$A$47</definedName>
    <definedName name="NoDPSchedule" localSheetId="6">'3 BEDROOM - BANK FIN'!$A$47</definedName>
    <definedName name="NoDPSchedule" localSheetId="7">'STUDIO - DEFERRED'!$A$43</definedName>
    <definedName name="NoDPSchedule" localSheetId="3">'STUDIO - DEFERRED'!$A$43</definedName>
    <definedName name="NoDPSchedule">'STUDIO - BANK FIN'!$A$47</definedName>
    <definedName name="Note1" localSheetId="2">'1 BEDROOM'!$A$91</definedName>
    <definedName name="Note1" localSheetId="4">'2 BEDROOM - BANK FIN'!$A$91</definedName>
    <definedName name="Note1" localSheetId="5">'2 BEDROOM - DEFERRED'!$A$98</definedName>
    <definedName name="Note1" localSheetId="8">'3 BEDROOM'!$A$91</definedName>
    <definedName name="Note1" localSheetId="6">'3 BEDROOM - BANK FIN'!$A$91</definedName>
    <definedName name="Note1" localSheetId="7">'3 BEDROOM - DEFERRED'!$A$98</definedName>
    <definedName name="Note1" localSheetId="3">'STUDIO - DEFERRED'!$A$98</definedName>
    <definedName name="Note1">'STUDIO - BANK FIN'!$A$91</definedName>
    <definedName name="OtherBSDiscount" localSheetId="2">'1 BEDROOM'!$G$17</definedName>
    <definedName name="OtherBSDiscount" localSheetId="4">'2 BEDROOM - BANK FIN'!$G$17</definedName>
    <definedName name="OtherBSDiscount" localSheetId="5">'2 BEDROOM - DEFERRED'!$G$17</definedName>
    <definedName name="OtherBSDiscount" localSheetId="8">'3 BEDROOM'!$G$17</definedName>
    <definedName name="OtherBSDiscount" localSheetId="6">'3 BEDROOM - BANK FIN'!$G$17</definedName>
    <definedName name="OtherBSDiscount" localSheetId="7">'3 BEDROOM - DEFERRED'!$G$17</definedName>
    <definedName name="OtherBSDiscount" localSheetId="3">'STUDIO - DEFERRED'!$G$17</definedName>
    <definedName name="OtherBSDiscount">'STUDIO - BANK FIN'!$G$17</definedName>
    <definedName name="OtherChargesPercentage" localSheetId="2">'1 BEDROOM'!$A$26</definedName>
    <definedName name="OtherChargesPercentage" localSheetId="4">'2 BEDROOM - BANK FIN'!$A$26</definedName>
    <definedName name="OtherChargesPercentage" localSheetId="5">'2 BEDROOM - DEFERRED'!$A$26</definedName>
    <definedName name="OtherChargesPercentage" localSheetId="8">'3 BEDROOM'!$A$26</definedName>
    <definedName name="OtherChargesPercentage" localSheetId="6">'3 BEDROOM - BANK FIN'!$A$26</definedName>
    <definedName name="OtherChargesPercentage" localSheetId="7">'3 BEDROOM - DEFERRED'!$A$26</definedName>
    <definedName name="OtherChargesPercentage" localSheetId="3">'STUDIO - DEFERRED'!$A$26</definedName>
    <definedName name="OtherChargesPercentage">'STUDIO - BANK FIN'!$A$26</definedName>
    <definedName name="OtherDiscount" localSheetId="2">'1 BEDROOM'!$G$20</definedName>
    <definedName name="OtherDiscount" localSheetId="4">'2 BEDROOM - BANK FIN'!$G$20</definedName>
    <definedName name="OtherDiscount" localSheetId="5">'2 BEDROOM - DEFERRED'!$G$20</definedName>
    <definedName name="OtherDiscount" localSheetId="8">'3 BEDROOM'!$G$20</definedName>
    <definedName name="OtherDiscount" localSheetId="6">'3 BEDROOM - BANK FIN'!$G$20</definedName>
    <definedName name="OtherDiscount" localSheetId="7">'3 BEDROOM - DEFERRED'!$G$20</definedName>
    <definedName name="OtherDiscount" localSheetId="3">'STUDIO - DEFERRED'!$G$20</definedName>
    <definedName name="OtherDiscount">'STUDIO - BANK FIN'!$G$20</definedName>
    <definedName name="OtherRSDiscount" localSheetId="2">'1 BEDROOM'!$G$14</definedName>
    <definedName name="OtherRSDiscount" localSheetId="4">'2 BEDROOM - BANK FIN'!$G$14</definedName>
    <definedName name="OtherRSDiscount" localSheetId="5">'2 BEDROOM - DEFERRED'!$G$14</definedName>
    <definedName name="OtherRSDiscount" localSheetId="8">'3 BEDROOM'!$G$14</definedName>
    <definedName name="OtherRSDiscount" localSheetId="6">'3 BEDROOM - BANK FIN'!$G$14</definedName>
    <definedName name="OtherRSDiscount" localSheetId="7">'3 BEDROOM - DEFERRED'!$G$14</definedName>
    <definedName name="OtherRSDiscount" localSheetId="3">'STUDIO - DEFERRED'!$G$14</definedName>
    <definedName name="OtherRSDiscount">'STUDIO - BANK FIN'!$G$14</definedName>
    <definedName name="Payee" localSheetId="2">'1 BEDROOM'!$A$100</definedName>
    <definedName name="Payee" localSheetId="4">'2 BEDROOM - BANK FIN'!$A$100</definedName>
    <definedName name="Payee" localSheetId="5">'2 BEDROOM - DEFERRED'!$A$107</definedName>
    <definedName name="Payee" localSheetId="8">'3 BEDROOM'!$A$100</definedName>
    <definedName name="Payee" localSheetId="6">'3 BEDROOM - BANK FIN'!$A$100</definedName>
    <definedName name="Payee" localSheetId="7">'3 BEDROOM - DEFERRED'!$A$107</definedName>
    <definedName name="Payee" localSheetId="3">'STUDIO - DEFERRED'!$A$107</definedName>
    <definedName name="Payee">'STUDIO - BANK FIN'!$A$100</definedName>
    <definedName name="PercentageDiscount" localSheetId="2">'1 BEDROOM'!$A$12</definedName>
    <definedName name="PercentageDiscount" localSheetId="4">'2 BEDROOM - BANK FIN'!$A$12</definedName>
    <definedName name="PercentageDiscount" localSheetId="5">'2 BEDROOM - DEFERRED'!$A$12</definedName>
    <definedName name="PercentageDiscount" localSheetId="8">'3 BEDROOM'!$A$12</definedName>
    <definedName name="PercentageDiscount" localSheetId="6">'3 BEDROOM - BANK FIN'!$A$12</definedName>
    <definedName name="PercentageDiscount" localSheetId="7">'3 BEDROOM - DEFERRED'!$A$12</definedName>
    <definedName name="PercentageDiscount" localSheetId="3">'STUDIO - DEFERRED'!$A$12</definedName>
    <definedName name="PercentageDiscount">'STUDIO - BANK FIN'!$A$12</definedName>
    <definedName name="ProjectName" localSheetId="2">'1 BEDROOM'!$A$3</definedName>
    <definedName name="ProjectName" localSheetId="4">'2 BEDROOM - BANK FIN'!$A$3</definedName>
    <definedName name="ProjectName" localSheetId="5">'2 BEDROOM - DEFERRED'!$A$3</definedName>
    <definedName name="ProjectName" localSheetId="8">'3 BEDROOM'!$A$3</definedName>
    <definedName name="ProjectName" localSheetId="6">'3 BEDROOM - BANK FIN'!$A$3</definedName>
    <definedName name="ProjectName" localSheetId="7">'3 BEDROOM - DEFERRED'!$A$3</definedName>
    <definedName name="ProjectName" localSheetId="3">'STUDIO - DEFERRED'!$A$3</definedName>
    <definedName name="ProjectName">'STUDIO - BANK FIN'!$A$3</definedName>
    <definedName name="ReservationDate" localSheetId="2">'1 BEDROOM'!$F$36</definedName>
    <definedName name="ReservationDate" localSheetId="4">'2 BEDROOM - BANK FIN'!$F$36</definedName>
    <definedName name="ReservationDate" localSheetId="5">'2 BEDROOM - DEFERRED'!$F$31</definedName>
    <definedName name="ReservationDate" localSheetId="8">'3 BEDROOM'!$F$36</definedName>
    <definedName name="ReservationDate" localSheetId="6">'3 BEDROOM - BANK FIN'!$F$36</definedName>
    <definedName name="ReservationDate" localSheetId="7">'3 BEDROOM - DEFERRED'!$F$31</definedName>
    <definedName name="ReservationDate" localSheetId="3">'STUDIO - DEFERRED'!$F$31</definedName>
    <definedName name="ReservationDate">'STUDIO - BANK FIN'!$F$36</definedName>
    <definedName name="ReservationDiscount" localSheetId="2">'1 BEDROOM'!$G$13</definedName>
    <definedName name="ReservationDiscount" localSheetId="4">'2 BEDROOM - BANK FIN'!$G$13</definedName>
    <definedName name="ReservationDiscount" localSheetId="5">'2 BEDROOM - DEFERRED'!$G$13</definedName>
    <definedName name="ReservationDiscount" localSheetId="8">'3 BEDROOM'!$G$13</definedName>
    <definedName name="ReservationDiscount" localSheetId="6">'3 BEDROOM - BANK FIN'!$G$13</definedName>
    <definedName name="ReservationDiscount" localSheetId="7">'3 BEDROOM - DEFERRED'!$G$13</definedName>
    <definedName name="ReservationDiscount" localSheetId="3">'STUDIO - DEFERRED'!$G$13</definedName>
    <definedName name="ReservationDiscount">'STUDIO - BANK FIN'!$G$13</definedName>
    <definedName name="ReservationFee" localSheetId="2">'1 BEDROOM'!$G$36</definedName>
    <definedName name="ReservationFee" localSheetId="4">'2 BEDROOM - BANK FIN'!$G$36</definedName>
    <definedName name="ReservationFee" localSheetId="5">'2 BEDROOM - DEFERRED'!$G$31</definedName>
    <definedName name="ReservationFee" localSheetId="8">'3 BEDROOM'!$G$36</definedName>
    <definedName name="ReservationFee" localSheetId="6">'3 BEDROOM - BANK FIN'!$G$36</definedName>
    <definedName name="ReservationFee" localSheetId="7">'3 BEDROOM - DEFERRED'!$G$31</definedName>
    <definedName name="ReservationFee" localSheetId="3">'STUDIO - DEFERRED'!$G$31</definedName>
    <definedName name="ReservationFee">'STUDIO - BANK FIN'!$G$36</definedName>
    <definedName name="SellingPrice" localSheetId="2">'1 BEDROOM'!$G$10</definedName>
    <definedName name="SellingPrice" localSheetId="4">'2 BEDROOM - BANK FIN'!$G$10</definedName>
    <definedName name="SellingPrice" localSheetId="5">'2 BEDROOM - DEFERRED'!$G$10</definedName>
    <definedName name="SellingPrice" localSheetId="8">'3 BEDROOM'!$G$10</definedName>
    <definedName name="SellingPrice" localSheetId="6">'3 BEDROOM - BANK FIN'!$G$10</definedName>
    <definedName name="SellingPrice" localSheetId="7">'3 BEDROOM - DEFERRED'!$G$10</definedName>
    <definedName name="SellingPrice" localSheetId="3">'STUDIO - DEFERRED'!$G$10</definedName>
    <definedName name="SellingPrice">'STUDIO - BANK FIN'!$G$10</definedName>
    <definedName name="ServiceFee" localSheetId="2">'1 BEDROOM'!$G$27</definedName>
    <definedName name="ServiceFee" localSheetId="4">'2 BEDROOM - BANK FIN'!$G$27</definedName>
    <definedName name="ServiceFee" localSheetId="5">'2 BEDROOM - DEFERRED'!$G$27</definedName>
    <definedName name="ServiceFee" localSheetId="8">'3 BEDROOM'!$G$27</definedName>
    <definedName name="ServiceFee" localSheetId="6">'3 BEDROOM - BANK FIN'!$G$27</definedName>
    <definedName name="ServiceFee" localSheetId="7">'3 BEDROOM - DEFERRED'!$G$27</definedName>
    <definedName name="ServiceFee" localSheetId="3">'STUDIO - DEFERRED'!$G$27</definedName>
    <definedName name="ServiceFee">'STUDIO - BANK FIN'!$G$27</definedName>
    <definedName name="SpotDownpayment" localSheetId="2">'1 BEDROOM'!$A$39</definedName>
    <definedName name="SpotDownpayment" localSheetId="4">'2 BEDROOM - BANK FIN'!$A$39</definedName>
    <definedName name="SpotDownpayment" localSheetId="5">'2 BEDROOM - DEFERRED'!$A$35</definedName>
    <definedName name="SpotDownpayment" localSheetId="8">'3 BEDROOM'!$A$39</definedName>
    <definedName name="SpotDownpayment" localSheetId="6">'3 BEDROOM - BANK FIN'!$A$39</definedName>
    <definedName name="SpotDownpayment" localSheetId="7">'3 BEDROOM - DEFERRED'!$A$35</definedName>
    <definedName name="SpotDownpayment" localSheetId="3">'STUDIO - DEFERRED'!$A$35</definedName>
    <definedName name="SpotDownpayment">'STUDIO - BANK FIN'!$A$39</definedName>
    <definedName name="StandardDiscount" localSheetId="2">'1 BEDROOM'!$G$12</definedName>
    <definedName name="StandardDiscount" localSheetId="4">'2 BEDROOM - BANK FIN'!$G$12</definedName>
    <definedName name="StandardDiscount" localSheetId="5">'2 BEDROOM - DEFERRED'!$G$12</definedName>
    <definedName name="StandardDiscount" localSheetId="8">'3 BEDROOM'!$G$12</definedName>
    <definedName name="StandardDiscount" localSheetId="6">'3 BEDROOM - BANK FIN'!$G$12</definedName>
    <definedName name="StandardDiscount" localSheetId="7">'3 BEDROOM - DEFERRED'!$G$12</definedName>
    <definedName name="StandardDiscount" localSheetId="3">'STUDIO - DEFERRED'!$G$12</definedName>
    <definedName name="StandardDiscount">'STUDIO - BANK FIN'!$G$12</definedName>
    <definedName name="TotalOtherCharges" localSheetId="2">'1 BEDROOM'!$G$26</definedName>
    <definedName name="TotalOtherCharges" localSheetId="4">'2 BEDROOM - BANK FIN'!$G$26</definedName>
    <definedName name="TotalOtherCharges" localSheetId="5">'2 BEDROOM - DEFERRED'!$G$26</definedName>
    <definedName name="TotalOtherCharges" localSheetId="8">'3 BEDROOM'!$G$26</definedName>
    <definedName name="TotalOtherCharges" localSheetId="6">'3 BEDROOM - BANK FIN'!$G$26</definedName>
    <definedName name="TotalOtherCharges" localSheetId="7">'3 BEDROOM - DEFERRED'!$G$26</definedName>
    <definedName name="TotalOtherCharges" localSheetId="3">'STUDIO - DEFERRED'!$G$26</definedName>
    <definedName name="TotalOtherCharges">'STUDIO - BANK FIN'!$G$26</definedName>
    <definedName name="Tower" localSheetId="2">'1 BEDROOM'!$A$7</definedName>
    <definedName name="Tower" localSheetId="4">'2 BEDROOM - BANK FIN'!$A$7</definedName>
    <definedName name="Tower" localSheetId="5">'2 BEDROOM - DEFERRED'!$A$7</definedName>
    <definedName name="Tower" localSheetId="8">'3 BEDROOM'!$A$7</definedName>
    <definedName name="Tower" localSheetId="6">'3 BEDROOM - BANK FIN'!$A$7</definedName>
    <definedName name="Tower" localSheetId="7">'3 BEDROOM - DEFERRED'!$A$7</definedName>
    <definedName name="Tower" localSheetId="3">'STUDIO - DEFERRED'!$A$7</definedName>
    <definedName name="Tower">'STUDIO - BANK FIN'!$A$7</definedName>
    <definedName name="Unit" localSheetId="2">'1 BEDROOM'!$B$7</definedName>
    <definedName name="Unit" localSheetId="4">'2 BEDROOM - BANK FIN'!$B$7</definedName>
    <definedName name="Unit" localSheetId="5">'2 BEDROOM - DEFERRED'!$B$7</definedName>
    <definedName name="Unit" localSheetId="8">'3 BEDROOM'!$B$7</definedName>
    <definedName name="Unit" localSheetId="6">'3 BEDROOM - BANK FIN'!$B$7</definedName>
    <definedName name="Unit" localSheetId="7">'3 BEDROOM - DEFERRED'!$B$7</definedName>
    <definedName name="Unit" localSheetId="3">'STUDIO - DEFERRED'!$B$7</definedName>
    <definedName name="Unit">'STUDIO - BANK FIN'!$B$7</definedName>
  </definedNames>
  <calcPr fullCalcOnLoad="1"/>
</workbook>
</file>

<file path=xl/sharedStrings.xml><?xml version="1.0" encoding="utf-8"?>
<sst xmlns="http://schemas.openxmlformats.org/spreadsheetml/2006/main" count="884" uniqueCount="146">
  <si>
    <t>AVIDA LAND CORP.</t>
  </si>
  <si>
    <t>CUSTOMER SERVICE UNIT</t>
  </si>
  <si>
    <t>AVIDA TOWERS VIREO</t>
  </si>
  <si>
    <t>Tower</t>
  </si>
  <si>
    <t>Unit</t>
  </si>
  <si>
    <t>Floor</t>
  </si>
  <si>
    <t>Floor Area</t>
  </si>
  <si>
    <t>Model</t>
  </si>
  <si>
    <t>1</t>
  </si>
  <si>
    <t>5</t>
  </si>
  <si>
    <t>STUDIO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</si>
  <si>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</si>
  <si>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</si>
  <si>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</si>
  <si>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</si>
  <si>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</si>
  <si>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</si>
  <si>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</si>
  <si>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</si>
  <si>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</si>
  <si>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</si>
  <si>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</si>
  <si>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</si>
  <si>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</si>
  <si>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Discount 2</t>
  </si>
  <si>
    <t>SELLING PRICE AFTER DISCOUNTS</t>
  </si>
  <si>
    <t>Add:</t>
  </si>
  <si>
    <t>Other Charges</t>
  </si>
  <si>
    <t>Service Fee</t>
  </si>
  <si>
    <t>AC Service Fee</t>
  </si>
  <si>
    <t>TOTAL RECEIVABLE</t>
  </si>
  <si>
    <t>DOWNPAYMENT</t>
  </si>
  <si>
    <t>Total Other Charges &amp; Fees</t>
  </si>
  <si>
    <t>TOTAL REQUIRED DOWNPAYMENT</t>
  </si>
  <si>
    <t>Reservation Fee</t>
  </si>
  <si>
    <t>SCHEDULE OF DOWNPAYMENT AND OTHERS CHARGES</t>
  </si>
  <si>
    <t>Total Spot DP and Other Charges payable on or before: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</si>
  <si>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</si>
  <si>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</si>
  <si>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</si>
  <si>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</si>
  <si>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</si>
  <si>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</si>
  <si>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</si>
  <si>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</si>
  <si>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</si>
  <si>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</si>
  <si>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</si>
  <si>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</si>
  <si>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</si>
  <si>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</si>
  <si>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</si>
  <si>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</si>
  <si>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</si>
  <si>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</si>
  <si>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</si>
  <si>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</si>
  <si>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</si>
  <si>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</si>
  <si>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</si>
  <si>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</si>
  <si>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</si>
  <si>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22nd Downpayment due on</t>
  </si>
  <si>
    <t>23rd Downpayment due on</t>
  </si>
  <si>
    <t>24th Downpayment due on</t>
  </si>
  <si>
    <t>25th Downpayment due on</t>
  </si>
  <si>
    <t>26th Downpayment due on</t>
  </si>
  <si>
    <t>27th Downpayment due on</t>
  </si>
  <si>
    <t>28th Downpayment due on</t>
  </si>
  <si>
    <t>29th Downpayment due on</t>
  </si>
  <si>
    <t>30th Downpayment due on</t>
  </si>
  <si>
    <t>31st Downpayment due on</t>
  </si>
  <si>
    <t>32nd Downpayment due on</t>
  </si>
  <si>
    <t>33rd Downpayment due on</t>
  </si>
  <si>
    <t>34th Downpayment due on</t>
  </si>
  <si>
    <t>35th Downpayment due on</t>
  </si>
  <si>
    <t>36th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</si>
  <si>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</si>
  <si>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</si>
  <si>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</si>
  <si>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</si>
  <si>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NOTE: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</si>
  <si>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</si>
  <si>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</si>
  <si>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</si>
  <si>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</si>
  <si>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</si>
  <si>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</si>
  <si>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</si>
  <si>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</si>
  <si>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Prepared By:</t>
  </si>
  <si>
    <t>Noted By:</t>
  </si>
  <si>
    <t>Signature Over Printed Name</t>
  </si>
  <si>
    <t>Customer Service Staff</t>
  </si>
  <si>
    <t>Customer Service Supervisor / Team Leader</t>
  </si>
  <si>
    <t>Conforme:</t>
  </si>
  <si>
    <t>Purchaser</t>
  </si>
  <si>
    <t>Bank Financing: Estimated Monthly Amortization (Mortgage Registration Charges not included)</t>
  </si>
  <si>
    <t>Principal</t>
  </si>
  <si>
    <t>Total Bank Loanable Amount</t>
  </si>
  <si>
    <t>Term (Years)</t>
  </si>
  <si>
    <t>Interest Rate</t>
  </si>
  <si>
    <t>Factor Rate</t>
  </si>
  <si>
    <t>From</t>
  </si>
  <si>
    <t>To</t>
  </si>
  <si>
    <t>NDI</t>
  </si>
  <si>
    <t>5 Years</t>
  </si>
  <si>
    <t>10 Years</t>
  </si>
  <si>
    <t>15 Years</t>
  </si>
  <si>
    <t>20 Years</t>
  </si>
  <si>
    <t>25 Years</t>
  </si>
  <si>
    <t>In-house Financing: Estimated Monthly Amortization</t>
  </si>
  <si>
    <t>Total Loan Amount</t>
  </si>
  <si>
    <t>Schedules</t>
  </si>
  <si>
    <t>Monthly Amort</t>
  </si>
  <si>
    <t xml:space="preserve">Total </t>
  </si>
  <si>
    <t>Due Dates</t>
  </si>
  <si>
    <t>60th Payment</t>
  </si>
  <si>
    <t>5.   All payments covering the due dates and amounts above should be made payable to AYALA LAND INC.</t>
  </si>
  <si>
    <t>1.   In the event of an increase in Other Charges, AYALA LAND INC. has the right to charge the</t>
  </si>
  <si>
    <t>1 BR W/ BALCONY</t>
  </si>
  <si>
    <t>2 BR W/ BALCONY</t>
  </si>
  <si>
    <t>3 BR W/ BALCONY</t>
  </si>
  <si>
    <t>DEFERRED CASH</t>
  </si>
  <si>
    <t>3% Discount on Net Selling Price</t>
  </si>
  <si>
    <t>NET SELLING PRICE</t>
  </si>
  <si>
    <t>SCHEDULE OF BALANCE AND DOWNPAYMENT</t>
  </si>
  <si>
    <t>Total Spot DP payable on or before:</t>
  </si>
  <si>
    <t>BALANCE</t>
  </si>
  <si>
    <t>37th Downpayment due on</t>
  </si>
  <si>
    <t>38th Downpayment due on</t>
  </si>
  <si>
    <t>39th Downpayment due on</t>
  </si>
  <si>
    <t>40th Downpayment due on</t>
  </si>
  <si>
    <t>41st Downpayment due on</t>
  </si>
  <si>
    <t>42nd Downpayment due on</t>
  </si>
  <si>
    <t>43rd Downpayment due on</t>
  </si>
  <si>
    <t>44th Downpayment due on</t>
  </si>
  <si>
    <t>45th Downpayment due on</t>
  </si>
  <si>
    <t>46th Downpayment due on</t>
  </si>
  <si>
    <t>47th Downpayment due on</t>
  </si>
  <si>
    <t>48th Downpayment due on</t>
  </si>
  <si>
    <t>49th Downpayment due on</t>
  </si>
  <si>
    <t>50th Downpayment due on</t>
  </si>
  <si>
    <t>51st Downpayment due on</t>
  </si>
  <si>
    <t>52nd Downpayment due on</t>
  </si>
  <si>
    <t>5.   All payments covering the due dates and amounts above should be made payable to AYALA LAND INC..</t>
  </si>
</sst>
</file>

<file path=xl/styles.xml><?xml version="1.0" encoding="utf-8"?>
<styleSheet xmlns="http://schemas.openxmlformats.org/spreadsheetml/2006/main">
  <numFmts count="25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[$-3409]dd\-mmm\-yy;@"/>
    <numFmt numFmtId="174" formatCode="_(* #,##0.000000000_);_(* \(#,##0.000000000\);_(* &quot;-&quot;??_);_(@_)"/>
    <numFmt numFmtId="175" formatCode="_(\P\ #,##0.00_);_(\P\ \(#,##0.00\);_(\P\ &quot;-&quot;??_);_(@_)"/>
    <numFmt numFmtId="176" formatCode="_(\P* #,##0_);_(\P* \(#,##0\);_(\P* &quot;-&quot;_);_(@_)"/>
    <numFmt numFmtId="177" formatCode="[$-409]dd\-mmm\-yy;@"/>
    <numFmt numFmtId="178" formatCode="_(\P* #,##0.00_);_(\P* \(#,##0.00\);_(\P* &quot;-&quot;??_);_(@_)"/>
    <numFmt numFmtId="179" formatCode="_(\P\ * #,##0.00_);_(\P\ * \(#,##0.00\);_(\P\ * &quot;-&quot;??_);_(@_)"/>
    <numFmt numFmtId="180" formatCode="_(* #,##0.0000000_);_(* \(#,##0.0000000\);_(* &quot;-&quot;??_);_(@_)"/>
  </numFmts>
  <fonts count="48">
    <font>
      <sz val="10"/>
      <color indexed="8"/>
      <name val="Courier New"/>
      <family val="0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2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172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171" fontId="6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/>
      <protection/>
    </xf>
    <xf numFmtId="171" fontId="6" fillId="0" borderId="0" xfId="0" applyNumberFormat="1" applyFont="1" applyFill="1" applyBorder="1" applyAlignment="1" applyProtection="1">
      <alignment/>
      <protection/>
    </xf>
    <xf numFmtId="172" fontId="1" fillId="33" borderId="0" xfId="0" applyNumberFormat="1" applyFont="1" applyFill="1" applyBorder="1" applyAlignment="1" applyProtection="1">
      <alignment/>
      <protection/>
    </xf>
    <xf numFmtId="171" fontId="6" fillId="33" borderId="1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 applyProtection="1">
      <alignment horizontal="center"/>
      <protection/>
    </xf>
    <xf numFmtId="173" fontId="1" fillId="33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75" fontId="6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3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center" vertical="center" wrapText="1"/>
      <protection/>
    </xf>
    <xf numFmtId="173" fontId="1" fillId="0" borderId="0" xfId="0" applyNumberFormat="1" applyFont="1" applyFill="1" applyBorder="1" applyAlignment="1" applyProtection="1">
      <alignment horizontal="center" vertical="center"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177" fontId="1" fillId="0" borderId="0" xfId="0" applyNumberFormat="1" applyFont="1" applyFill="1" applyBorder="1" applyAlignment="1" applyProtection="1">
      <alignment horizontal="center"/>
      <protection/>
    </xf>
    <xf numFmtId="178" fontId="6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14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0" fontId="1" fillId="0" borderId="19" xfId="0" applyNumberFormat="1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 horizontal="left"/>
      <protection/>
    </xf>
    <xf numFmtId="10" fontId="1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 horizontal="right"/>
      <protection/>
    </xf>
    <xf numFmtId="0" fontId="6" fillId="0" borderId="2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10" fontId="1" fillId="0" borderId="20" xfId="0" applyNumberFormat="1" applyFont="1" applyFill="1" applyBorder="1" applyAlignment="1" applyProtection="1">
      <alignment/>
      <protection/>
    </xf>
    <xf numFmtId="180" fontId="1" fillId="0" borderId="20" xfId="0" applyNumberFormat="1" applyFont="1" applyFill="1" applyBorder="1" applyAlignment="1" applyProtection="1">
      <alignment/>
      <protection/>
    </xf>
    <xf numFmtId="177" fontId="1" fillId="0" borderId="20" xfId="0" applyNumberFormat="1" applyFont="1" applyFill="1" applyBorder="1" applyAlignment="1" applyProtection="1">
      <alignment horizontal="center"/>
      <protection/>
    </xf>
    <xf numFmtId="171" fontId="6" fillId="0" borderId="20" xfId="0" applyNumberFormat="1" applyFont="1" applyFill="1" applyBorder="1" applyAlignment="1" applyProtection="1">
      <alignment/>
      <protection/>
    </xf>
    <xf numFmtId="171" fontId="11" fillId="0" borderId="20" xfId="0" applyNumberFormat="1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80" fontId="1" fillId="0" borderId="0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180" fontId="1" fillId="0" borderId="19" xfId="0" applyNumberFormat="1" applyFont="1" applyFill="1" applyBorder="1" applyAlignment="1" applyProtection="1">
      <alignment/>
      <protection/>
    </xf>
    <xf numFmtId="177" fontId="1" fillId="0" borderId="19" xfId="0" applyNumberFormat="1" applyFont="1" applyFill="1" applyBorder="1" applyAlignment="1" applyProtection="1">
      <alignment horizontal="center"/>
      <protection/>
    </xf>
    <xf numFmtId="171" fontId="1" fillId="0" borderId="22" xfId="0" applyNumberFormat="1" applyFont="1" applyFill="1" applyBorder="1" applyAlignment="1" applyProtection="1">
      <alignment/>
      <protection/>
    </xf>
    <xf numFmtId="0" fontId="13" fillId="0" borderId="23" xfId="0" applyNumberFormat="1" applyFont="1" applyFill="1" applyBorder="1" applyAlignment="1" applyProtection="1">
      <alignment/>
      <protection/>
    </xf>
    <xf numFmtId="171" fontId="1" fillId="0" borderId="24" xfId="0" applyNumberFormat="1" applyFont="1" applyFill="1" applyBorder="1" applyAlignment="1" applyProtection="1">
      <alignment/>
      <protection/>
    </xf>
    <xf numFmtId="10" fontId="6" fillId="0" borderId="0" xfId="0" applyNumberFormat="1" applyFont="1" applyFill="1" applyBorder="1" applyAlignment="1" applyProtection="1">
      <alignment/>
      <protection/>
    </xf>
    <xf numFmtId="171" fontId="6" fillId="0" borderId="24" xfId="0" applyNumberFormat="1" applyFont="1" applyFill="1" applyBorder="1" applyAlignment="1" applyProtection="1">
      <alignment/>
      <protection/>
    </xf>
    <xf numFmtId="9" fontId="13" fillId="0" borderId="23" xfId="0" applyNumberFormat="1" applyFont="1" applyFill="1" applyBorder="1" applyAlignment="1" applyProtection="1">
      <alignment/>
      <protection/>
    </xf>
    <xf numFmtId="171" fontId="11" fillId="0" borderId="0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171" fontId="1" fillId="0" borderId="20" xfId="0" applyNumberFormat="1" applyFont="1" applyFill="1" applyBorder="1" applyAlignment="1" applyProtection="1">
      <alignment horizontal="center" vertical="center" wrapText="1"/>
      <protection/>
    </xf>
    <xf numFmtId="171" fontId="1" fillId="0" borderId="20" xfId="0" applyNumberFormat="1" applyFont="1" applyFill="1" applyBorder="1" applyAlignment="1" applyProtection="1">
      <alignment horizontal="center" vertical="center"/>
      <protection/>
    </xf>
    <xf numFmtId="171" fontId="6" fillId="0" borderId="20" xfId="0" applyNumberFormat="1" applyFont="1" applyFill="1" applyBorder="1" applyAlignment="1" applyProtection="1">
      <alignment horizontal="center" vertical="center"/>
      <protection/>
    </xf>
    <xf numFmtId="173" fontId="1" fillId="0" borderId="20" xfId="0" applyNumberFormat="1" applyFont="1" applyFill="1" applyBorder="1" applyAlignment="1" applyProtection="1">
      <alignment horizontal="center" vertical="center" wrapText="1"/>
      <protection/>
    </xf>
    <xf numFmtId="17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1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2" fontId="1" fillId="33" borderId="0" xfId="0" applyNumberFormat="1" applyFont="1" applyFill="1" applyAlignment="1">
      <alignment/>
    </xf>
    <xf numFmtId="171" fontId="6" fillId="33" borderId="17" xfId="0" applyNumberFormat="1" applyFont="1" applyFill="1" applyBorder="1" applyAlignment="1">
      <alignment/>
    </xf>
    <xf numFmtId="173" fontId="1" fillId="0" borderId="0" xfId="0" applyNumberFormat="1" applyFont="1" applyAlignment="1">
      <alignment horizontal="center"/>
    </xf>
    <xf numFmtId="173" fontId="1" fillId="33" borderId="0" xfId="0" applyNumberFormat="1" applyFont="1" applyFill="1" applyAlignment="1">
      <alignment horizontal="center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174" fontId="1" fillId="0" borderId="0" xfId="0" applyNumberFormat="1" applyFont="1" applyAlignment="1">
      <alignment/>
    </xf>
    <xf numFmtId="0" fontId="7" fillId="0" borderId="0" xfId="0" applyFont="1" applyAlignment="1">
      <alignment/>
    </xf>
    <xf numFmtId="175" fontId="6" fillId="0" borderId="17" xfId="0" applyNumberFormat="1" applyFont="1" applyBorder="1" applyAlignment="1">
      <alignment/>
    </xf>
    <xf numFmtId="175" fontId="6" fillId="0" borderId="0" xfId="0" applyNumberFormat="1" applyFont="1" applyAlignment="1">
      <alignment/>
    </xf>
    <xf numFmtId="0" fontId="8" fillId="0" borderId="0" xfId="0" applyFont="1" applyAlignment="1">
      <alignment/>
    </xf>
    <xf numFmtId="17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 horizontal="center" vertical="center"/>
    </xf>
    <xf numFmtId="171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33" borderId="25" xfId="0" applyNumberFormat="1" applyFont="1" applyFill="1" applyBorder="1" applyAlignment="1" applyProtection="1">
      <alignment horizontal="left"/>
      <protection/>
    </xf>
    <xf numFmtId="0" fontId="6" fillId="33" borderId="27" xfId="0" applyNumberFormat="1" applyFont="1" applyFill="1" applyBorder="1" applyAlignment="1" applyProtection="1">
      <alignment horizontal="left"/>
      <protection/>
    </xf>
    <xf numFmtId="0" fontId="6" fillId="33" borderId="26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6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33" borderId="25" xfId="0" applyNumberFormat="1" applyFont="1" applyFill="1" applyBorder="1" applyAlignment="1" applyProtection="1">
      <alignment horizontal="center"/>
      <protection/>
    </xf>
    <xf numFmtId="0" fontId="6" fillId="33" borderId="27" xfId="0" applyNumberFormat="1" applyFont="1" applyFill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indent="2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indent="2"/>
    </xf>
    <xf numFmtId="0" fontId="1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1"/>
  <sheetViews>
    <sheetView zoomScalePageLayoutView="0" workbookViewId="0" topLeftCell="A1">
      <selection activeCell="A4" sqref="A4:G4"/>
    </sheetView>
  </sheetViews>
  <sheetFormatPr defaultColWidth="12.375" defaultRowHeight="12.75" customHeight="1"/>
  <cols>
    <col min="1" max="1" width="12.375" style="1" customWidth="1"/>
    <col min="2" max="2" width="13.125" style="1" customWidth="1"/>
    <col min="3" max="3" width="17.625" style="1" customWidth="1"/>
    <col min="4" max="4" width="13.625" style="1" customWidth="1"/>
    <col min="5" max="5" width="14.75390625" style="1" customWidth="1"/>
    <col min="6" max="6" width="17.375" style="1" customWidth="1"/>
    <col min="7" max="7" width="18.375" style="1" customWidth="1"/>
    <col min="8" max="8" width="13.25390625" style="1" customWidth="1"/>
    <col min="9" max="16384" width="12.375" style="1" customWidth="1"/>
  </cols>
  <sheetData>
    <row r="2" spans="1:7" ht="14.25" customHeight="1">
      <c r="A2" s="2"/>
      <c r="B2" s="132" t="str">
        <f>'STUDIO - BANK FIN'!B1</f>
        <v>AVIDA LAND CORP.</v>
      </c>
      <c r="C2" s="132"/>
      <c r="D2" s="132"/>
      <c r="E2" s="132"/>
      <c r="F2" s="132"/>
      <c r="G2" s="3"/>
    </row>
    <row r="3" spans="1:7" ht="14.25" customHeight="1">
      <c r="A3" s="4"/>
      <c r="B3" s="133" t="str">
        <f>'STUDIO - BANK FIN'!B2</f>
        <v>CUSTOMER SERVICE UNIT</v>
      </c>
      <c r="C3" s="133"/>
      <c r="D3" s="133"/>
      <c r="E3" s="133"/>
      <c r="F3" s="133"/>
      <c r="G3" s="5"/>
    </row>
    <row r="4" spans="1:7" ht="30" customHeight="1">
      <c r="A4" s="134" t="str">
        <f>'STUDIO - BANK FIN'!A3</f>
        <v>AVIDA TOWERS VIREO</v>
      </c>
      <c r="B4" s="135"/>
      <c r="C4" s="135"/>
      <c r="D4" s="135"/>
      <c r="E4" s="135"/>
      <c r="F4" s="135"/>
      <c r="G4" s="136"/>
    </row>
    <row r="5" spans="1:7" ht="13.5" customHeight="1">
      <c r="A5" s="6"/>
      <c r="B5" s="7"/>
      <c r="C5" s="7"/>
      <c r="D5" s="49" t="str">
        <f>Mode</f>
        <v>SAMPLE COMPUTATION ONLY</v>
      </c>
      <c r="E5" s="7"/>
      <c r="F5" s="7"/>
      <c r="G5" s="9"/>
    </row>
    <row r="6" ht="13.5" customHeight="1">
      <c r="G6" s="50">
        <v>24</v>
      </c>
    </row>
    <row r="7" spans="1:7" ht="12.75">
      <c r="A7" s="11" t="s">
        <v>3</v>
      </c>
      <c r="B7" s="11" t="s">
        <v>4</v>
      </c>
      <c r="C7" s="11" t="s">
        <v>5</v>
      </c>
      <c r="D7" s="11" t="s">
        <v>6</v>
      </c>
      <c r="E7" s="11"/>
      <c r="F7" s="137" t="s">
        <v>7</v>
      </c>
      <c r="G7" s="137"/>
    </row>
    <row r="8" spans="1:7" ht="12.75">
      <c r="A8" s="12" t="str">
        <f>Tower</f>
        <v>1</v>
      </c>
      <c r="B8" s="12">
        <f>Unit</f>
        <v>1117</v>
      </c>
      <c r="C8" s="12">
        <f>Floor</f>
        <v>11</v>
      </c>
      <c r="D8" s="12">
        <f>FloorArea</f>
        <v>23.4</v>
      </c>
      <c r="E8" s="12"/>
      <c r="F8" s="138" t="str">
        <f>'STUDIO - BANK FIN'!F7</f>
        <v>STUDIO</v>
      </c>
      <c r="G8" s="138"/>
    </row>
    <row r="11" spans="1:7" ht="12.75">
      <c r="A11" s="139" t="s">
        <v>97</v>
      </c>
      <c r="B11" s="140"/>
      <c r="C11" s="140"/>
      <c r="D11" s="140"/>
      <c r="E11" s="140"/>
      <c r="F11" s="140"/>
      <c r="G11" s="141"/>
    </row>
    <row r="12" spans="1:7" ht="12.75">
      <c r="A12" s="51"/>
      <c r="B12" s="52" t="s">
        <v>98</v>
      </c>
      <c r="C12" s="51"/>
      <c r="D12" s="51"/>
      <c r="E12" s="51"/>
      <c r="F12" s="51"/>
      <c r="G12" s="53">
        <f>('STUDIO - BANK FIN'!G24+'STUDIO - BANK FIN'!G25)-'STUDIO - BANK FIN'!G33</f>
        <v>4203935.9929</v>
      </c>
    </row>
    <row r="13" spans="1:7" ht="12.75">
      <c r="A13" s="51"/>
      <c r="B13" s="54" t="s">
        <v>27</v>
      </c>
      <c r="C13" s="51"/>
      <c r="D13" s="51"/>
      <c r="E13" s="51"/>
      <c r="F13" s="51"/>
      <c r="G13" s="53">
        <f>'STUDIO - BANK FIN'!G29-'STUDIO - BANK FIN'!G34</f>
        <v>262746</v>
      </c>
    </row>
    <row r="14" spans="1:7" ht="12.75">
      <c r="A14" s="51"/>
      <c r="B14" s="51" t="s">
        <v>99</v>
      </c>
      <c r="C14" s="51"/>
      <c r="D14" s="51"/>
      <c r="E14" s="51"/>
      <c r="F14" s="44">
        <f>'STUDIO - BANK FIN'!F87</f>
        <v>44563</v>
      </c>
      <c r="G14" s="55">
        <f>SUM(G12:G13)</f>
        <v>4466681.9929</v>
      </c>
    </row>
    <row r="15" ht="12.75">
      <c r="A15" s="26"/>
    </row>
    <row r="16" spans="1:8" s="26" customFormat="1" ht="12.75">
      <c r="A16" s="56" t="s">
        <v>100</v>
      </c>
      <c r="B16" s="56" t="s">
        <v>101</v>
      </c>
      <c r="C16" s="56" t="s">
        <v>102</v>
      </c>
      <c r="D16" s="56" t="s">
        <v>103</v>
      </c>
      <c r="E16" s="56" t="s">
        <v>104</v>
      </c>
      <c r="F16" s="56" t="s">
        <v>39</v>
      </c>
      <c r="G16" s="56" t="s">
        <v>105</v>
      </c>
      <c r="H16" s="23"/>
    </row>
    <row r="17" spans="1:8" ht="12.75">
      <c r="A17" s="57" t="s">
        <v>106</v>
      </c>
      <c r="B17" s="58">
        <v>0.065</v>
      </c>
      <c r="C17" s="59">
        <f>-ROUND(PMT(B17/12,60,1),7)</f>
        <v>0.0195661</v>
      </c>
      <c r="D17" s="60">
        <f>DATE(YEAR(F14),MONTH(F14)+1,DAY(F14))</f>
        <v>44594</v>
      </c>
      <c r="E17" s="60">
        <f>DATE(YEAR(F14)+5,MONTH(F14),DAY(F14))</f>
        <v>46389</v>
      </c>
      <c r="F17" s="61">
        <f>ROUND($G$14*C17,2)</f>
        <v>87395.55</v>
      </c>
      <c r="G17" s="62">
        <f>F17/40%</f>
        <v>218488.875</v>
      </c>
      <c r="H17" s="63"/>
    </row>
    <row r="18" spans="1:7" ht="12.75">
      <c r="A18" s="57" t="s">
        <v>107</v>
      </c>
      <c r="B18" s="58">
        <v>0.085</v>
      </c>
      <c r="C18" s="59">
        <f>-ROUND(PMT(B18/12,120,1),7)</f>
        <v>0.0123986</v>
      </c>
      <c r="D18" s="60">
        <f>D17</f>
        <v>44594</v>
      </c>
      <c r="E18" s="60">
        <f>DATE(YEAR($F$14)+10,MONTH($F$14),DAY($F$14))</f>
        <v>48215</v>
      </c>
      <c r="F18" s="61">
        <f>ROUND($G$14*C18,2)</f>
        <v>55380.6</v>
      </c>
      <c r="G18" s="62">
        <f>F18/40%</f>
        <v>138451.5</v>
      </c>
    </row>
    <row r="19" spans="1:7" ht="12.75">
      <c r="A19" s="57" t="s">
        <v>108</v>
      </c>
      <c r="B19" s="58">
        <v>0.0925</v>
      </c>
      <c r="C19" s="59">
        <f>-ROUND(PMT(B19/12,180,1),7)</f>
        <v>0.0102919</v>
      </c>
      <c r="D19" s="60">
        <f>D18</f>
        <v>44594</v>
      </c>
      <c r="E19" s="60">
        <f>DATE(YEAR($F$14)+15,MONTH($F$14),DAY($F$14))</f>
        <v>50042</v>
      </c>
      <c r="F19" s="61">
        <f>ROUND($G$14*C19,2)</f>
        <v>45970.64</v>
      </c>
      <c r="G19" s="62">
        <f>F19/40%</f>
        <v>114926.59999999999</v>
      </c>
    </row>
    <row r="20" spans="1:7" ht="12.75">
      <c r="A20" s="57" t="s">
        <v>109</v>
      </c>
      <c r="B20" s="58">
        <v>0.0975</v>
      </c>
      <c r="C20" s="59">
        <f>-ROUND(PMT(B20/12,240,1),7)</f>
        <v>0.0094852</v>
      </c>
      <c r="D20" s="60">
        <f>D19</f>
        <v>44594</v>
      </c>
      <c r="E20" s="60">
        <f>DATE(YEAR($F$14)+20,MONTH($F$14),DAY($F$14))</f>
        <v>51868</v>
      </c>
      <c r="F20" s="61">
        <f>ROUND($G$14*C20,2)</f>
        <v>42367.37</v>
      </c>
      <c r="G20" s="62">
        <f>F20/40%</f>
        <v>105918.425</v>
      </c>
    </row>
    <row r="21" spans="1:7" ht="12.75">
      <c r="A21" s="57" t="s">
        <v>110</v>
      </c>
      <c r="B21" s="58">
        <v>0.0975</v>
      </c>
      <c r="C21" s="59">
        <f>-ROUND(PMT(B21/12,300,1),7)</f>
        <v>0.0089114</v>
      </c>
      <c r="D21" s="60">
        <f>D20</f>
        <v>44594</v>
      </c>
      <c r="E21" s="60">
        <f>DATE(YEAR($F$14)+25,MONTH($F$14),DAY($F$14))</f>
        <v>53694</v>
      </c>
      <c r="F21" s="61">
        <f>ROUND($G$14*C21,2)</f>
        <v>39804.39</v>
      </c>
      <c r="G21" s="62">
        <f>F21/40%</f>
        <v>99510.97499999999</v>
      </c>
    </row>
    <row r="22" spans="2:7" ht="12.75">
      <c r="B22" s="54"/>
      <c r="G22" s="23"/>
    </row>
    <row r="23" spans="1:7" ht="12.75">
      <c r="A23" s="139" t="s">
        <v>111</v>
      </c>
      <c r="B23" s="140"/>
      <c r="C23" s="140"/>
      <c r="D23" s="140"/>
      <c r="E23" s="140"/>
      <c r="F23" s="140"/>
      <c r="G23" s="141"/>
    </row>
    <row r="24" spans="1:7" ht="12.75">
      <c r="A24" s="64"/>
      <c r="B24" s="54"/>
      <c r="D24" s="65"/>
      <c r="E24" s="44"/>
      <c r="F24" s="44"/>
      <c r="G24" s="23"/>
    </row>
    <row r="25" spans="1:7" ht="12.75">
      <c r="A25" s="146" t="str">
        <f>"5 Years In-house Financing with Remaining "&amp;A26&amp;"months at "&amp;ROUND(A30*100,2)&amp;"% interest"</f>
        <v>5 Years In-house Financing with Remaining 35months at 12% interest</v>
      </c>
      <c r="B25" s="147"/>
      <c r="C25" s="147"/>
      <c r="D25" s="147"/>
      <c r="E25" s="147"/>
      <c r="F25" s="147"/>
      <c r="G25" s="148"/>
    </row>
    <row r="26" spans="1:7" ht="12.75">
      <c r="A26" s="66">
        <f>60-A28</f>
        <v>35</v>
      </c>
      <c r="B26" s="52" t="s">
        <v>98</v>
      </c>
      <c r="C26" s="67"/>
      <c r="D26" s="68"/>
      <c r="E26" s="69"/>
      <c r="F26" s="69"/>
      <c r="G26" s="70">
        <f>G12</f>
        <v>4203935.9929</v>
      </c>
    </row>
    <row r="27" spans="1:7" ht="12.75">
      <c r="A27" s="71">
        <f>60-A28</f>
        <v>35</v>
      </c>
      <c r="B27" s="54" t="s">
        <v>27</v>
      </c>
      <c r="D27" s="65"/>
      <c r="E27" s="44"/>
      <c r="F27" s="44"/>
      <c r="G27" s="72">
        <f>ROUND(('STUDIO - BANK FIN'!G24*8%)+'STUDIO - BANK FIN'!F27+ACServiceFee-'STUDIO - BANK FIN'!G34,2)</f>
        <v>309664.93</v>
      </c>
    </row>
    <row r="28" spans="1:7" ht="12.75">
      <c r="A28" s="71">
        <f>NoDPSchedule+1</f>
        <v>25</v>
      </c>
      <c r="B28" s="73" t="s">
        <v>112</v>
      </c>
      <c r="D28" s="65"/>
      <c r="E28" s="44"/>
      <c r="F28" s="44"/>
      <c r="G28" s="74">
        <f>SUM(G26:G27)</f>
        <v>4513600.9229</v>
      </c>
    </row>
    <row r="29" spans="1:7" ht="12.75">
      <c r="A29" s="71"/>
      <c r="B29" s="73"/>
      <c r="D29" s="65"/>
      <c r="E29" s="44"/>
      <c r="F29" s="44"/>
      <c r="G29" s="74"/>
    </row>
    <row r="30" spans="1:7" ht="12.75">
      <c r="A30" s="75">
        <v>0.12</v>
      </c>
      <c r="B30" s="54" t="s">
        <v>102</v>
      </c>
      <c r="C30" s="65">
        <f>-ROUND(PMT(A30/12,A26,1),7)</f>
        <v>0.0340037</v>
      </c>
      <c r="D30" s="65"/>
      <c r="E30" s="43"/>
      <c r="F30" s="44"/>
      <c r="G30" s="74"/>
    </row>
    <row r="31" spans="1:7" ht="12.75">
      <c r="A31" s="75"/>
      <c r="B31" s="54" t="s">
        <v>105</v>
      </c>
      <c r="C31" s="76">
        <f>E34/40%</f>
        <v>379492.375</v>
      </c>
      <c r="D31" s="65"/>
      <c r="E31" s="43"/>
      <c r="F31" s="44"/>
      <c r="G31" s="74"/>
    </row>
    <row r="32" spans="1:7" ht="12.75">
      <c r="A32" s="149" t="s">
        <v>113</v>
      </c>
      <c r="B32" s="150"/>
      <c r="C32" s="153" t="s">
        <v>114</v>
      </c>
      <c r="D32" s="153" t="s">
        <v>27</v>
      </c>
      <c r="E32" s="153" t="s">
        <v>115</v>
      </c>
      <c r="F32" s="130" t="s">
        <v>116</v>
      </c>
      <c r="G32" s="131"/>
    </row>
    <row r="33" spans="1:7" ht="12.75">
      <c r="A33" s="151"/>
      <c r="B33" s="152"/>
      <c r="C33" s="154"/>
      <c r="D33" s="154"/>
      <c r="E33" s="154"/>
      <c r="F33" s="77" t="s">
        <v>103</v>
      </c>
      <c r="G33" s="77" t="s">
        <v>104</v>
      </c>
    </row>
    <row r="34" spans="1:10" ht="12.75">
      <c r="A34" s="142" t="str">
        <f>CONCATENATE(A28+2,"th-59th Payment")</f>
        <v>27th-59th Payment</v>
      </c>
      <c r="B34" s="143"/>
      <c r="C34" s="78">
        <f>ROUND((G26*C30),2)</f>
        <v>142949.38</v>
      </c>
      <c r="D34" s="79">
        <f>ROUND(G27/A27,2)</f>
        <v>8847.57</v>
      </c>
      <c r="E34" s="80">
        <f>SUM(C34:D34)</f>
        <v>151796.95</v>
      </c>
      <c r="F34" s="60">
        <f>D17</f>
        <v>44594</v>
      </c>
      <c r="G34" s="81">
        <f>DATE(YEAR(F34),MONTH(F34)+(60-A28-3),DAY(F34))</f>
        <v>45567</v>
      </c>
      <c r="I34" s="44"/>
      <c r="J34" s="82"/>
    </row>
    <row r="35" spans="1:10" ht="12.75">
      <c r="A35" s="144" t="s">
        <v>117</v>
      </c>
      <c r="B35" s="145"/>
      <c r="C35" s="78">
        <f>C34</f>
        <v>142949.38</v>
      </c>
      <c r="D35" s="79">
        <f>G27-(D34*(A27-1))</f>
        <v>8847.549999999988</v>
      </c>
      <c r="E35" s="80">
        <f>SUM(C35:D35)</f>
        <v>151796.93</v>
      </c>
      <c r="F35" s="81">
        <f>DATE(YEAR(F34),MONTH(F34)+(60-A28-2),DAY(F34))</f>
        <v>45598</v>
      </c>
      <c r="G35" s="81"/>
      <c r="I35" s="82"/>
      <c r="J35" s="82"/>
    </row>
    <row r="36" spans="1:7" ht="12.75">
      <c r="A36" s="26"/>
      <c r="B36" s="73"/>
      <c r="D36" s="65"/>
      <c r="E36" s="44"/>
      <c r="F36" s="44"/>
      <c r="G36" s="23"/>
    </row>
    <row r="37" spans="1:4" ht="12.75">
      <c r="A37" s="32" t="s">
        <v>81</v>
      </c>
      <c r="B37" s="46"/>
      <c r="C37" s="46"/>
      <c r="D37" s="46"/>
    </row>
    <row r="38" spans="1:7" ht="12.75">
      <c r="A38" s="128" t="str">
        <f>'STUDIO - BANK FIN'!A91</f>
        <v>1.   In the event of an increase in Other Charges, AYALA LAND INC. has the right to charge the</v>
      </c>
      <c r="B38" s="128"/>
      <c r="C38" s="128"/>
      <c r="D38" s="128"/>
      <c r="E38" s="128"/>
      <c r="F38" s="128"/>
      <c r="G38" s="128"/>
    </row>
    <row r="39" spans="1:4" ht="12.75">
      <c r="A39" s="46" t="str">
        <f>'STUDIO - BANK FIN'!A92</f>
        <v>      Purchaser as mandated in the CTS &amp; DAS.</v>
      </c>
      <c r="B39" s="46"/>
      <c r="C39" s="46"/>
      <c r="D39" s="46"/>
    </row>
    <row r="40" spans="1:10" ht="12.75">
      <c r="A40" s="46" t="str">
        <f>'STUDIO - BANK FIN'!A93</f>
        <v>2.   Discounts are conditioned upon the Buyer’s  timely compliance with all his obligations, including </v>
      </c>
      <c r="B40" s="46"/>
      <c r="C40" s="46"/>
      <c r="D40" s="46"/>
      <c r="J40" s="44"/>
    </row>
    <row r="41" spans="1:10" ht="12.75">
      <c r="A41" s="46" t="str">
        <f>'STUDIO - BANK FIN'!A94</f>
        <v>      payments and transmittal of required documents.</v>
      </c>
      <c r="B41" s="46"/>
      <c r="C41" s="46"/>
      <c r="D41" s="46"/>
      <c r="J41" s="44"/>
    </row>
    <row r="42" spans="1:10" ht="12.75">
      <c r="A42" s="47" t="str">
        <f>'STUDIO - BANK FIN'!A95</f>
        <v>3.   Delay in any payment is an event of default entitling the Seller to exercise remedial options, which include collection of </v>
      </c>
      <c r="B42" s="46"/>
      <c r="C42" s="46"/>
      <c r="D42" s="46"/>
      <c r="J42" s="44"/>
    </row>
    <row r="43" spans="1:10" ht="12.75">
      <c r="A43" s="47" t="str">
        <f>'STUDIO - BANK FIN'!A96</f>
        <v>      penalty  at the rate of two percent (2%) of the unpaid amount for every month (or a fraction thereof) of delay as </v>
      </c>
      <c r="B43" s="46"/>
      <c r="C43" s="46"/>
      <c r="D43" s="46"/>
      <c r="J43" s="44"/>
    </row>
    <row r="44" spans="1:10" ht="12.75">
      <c r="A44" s="47" t="str">
        <f>'STUDIO - BANK FIN'!A97</f>
        <v>      specified under Sec 4(ii) of the RA and Sec 4.2 of the CTS</v>
      </c>
      <c r="B44" s="46"/>
      <c r="C44" s="46"/>
      <c r="D44" s="46"/>
      <c r="J44" s="44"/>
    </row>
    <row r="45" spans="1:10" ht="12.75">
      <c r="A45" s="47" t="str">
        <f>'STUDIO - BANK FIN'!A98</f>
        <v>4.   For Bank Financing Program, Buyer is required to issue a guarantee check covering the lump-sum payment.  Upon</v>
      </c>
      <c r="B45" s="46"/>
      <c r="C45" s="46"/>
      <c r="D45" s="46"/>
      <c r="J45" s="44"/>
    </row>
    <row r="46" spans="1:10" ht="12.75">
      <c r="A46" s="47" t="str">
        <f>'STUDIO - BANK FIN'!A99</f>
        <v>      Seller’s receipt of the bank guarantee, the relevant guarantee check(s) covered thereby shall be returned to the Buyer.</v>
      </c>
      <c r="B46" s="46"/>
      <c r="C46" s="46"/>
      <c r="D46" s="46"/>
      <c r="J46" s="44"/>
    </row>
    <row r="47" spans="1:10" ht="12.75">
      <c r="A47" s="128" t="str">
        <f>'STUDIO - BANK FIN'!A100</f>
        <v>5.   All payments covering the due dates and amounts above should be made payable to AYALA LAND INC.</v>
      </c>
      <c r="B47" s="128"/>
      <c r="C47" s="128"/>
      <c r="D47" s="128"/>
      <c r="E47" s="128"/>
      <c r="F47" s="128"/>
      <c r="G47" s="128"/>
      <c r="J47" s="44"/>
    </row>
    <row r="48" spans="1:10" ht="12.75">
      <c r="A48" s="128"/>
      <c r="B48" s="128"/>
      <c r="C48" s="128"/>
      <c r="D48" s="128"/>
      <c r="E48" s="128"/>
      <c r="F48" s="128"/>
      <c r="G48" s="128"/>
      <c r="J48" s="44"/>
    </row>
    <row r="49" spans="1:10" ht="12.75">
      <c r="A49" s="129"/>
      <c r="B49" s="129"/>
      <c r="C49" s="129"/>
      <c r="D49" s="129"/>
      <c r="E49" s="129"/>
      <c r="F49" s="129"/>
      <c r="G49" s="129"/>
      <c r="J49" s="44"/>
    </row>
    <row r="50" ht="12.75">
      <c r="J50" s="44"/>
    </row>
    <row r="51" ht="12.75">
      <c r="J51" s="44"/>
    </row>
    <row r="52" spans="1:10" ht="12.75">
      <c r="A52" s="1" t="s">
        <v>90</v>
      </c>
      <c r="E52" s="1" t="s">
        <v>91</v>
      </c>
      <c r="J52" s="44"/>
    </row>
    <row r="53" ht="12.75">
      <c r="J53" s="44"/>
    </row>
    <row r="54" ht="12.75">
      <c r="J54" s="44"/>
    </row>
    <row r="55" spans="1:10" ht="12.75">
      <c r="A55" s="48"/>
      <c r="B55" s="48"/>
      <c r="C55" s="48"/>
      <c r="E55" s="48"/>
      <c r="F55" s="48"/>
      <c r="G55" s="48"/>
      <c r="J55" s="44"/>
    </row>
    <row r="56" spans="1:10" ht="12.75">
      <c r="A56" s="1" t="s">
        <v>92</v>
      </c>
      <c r="E56" s="1" t="s">
        <v>92</v>
      </c>
      <c r="J56" s="44"/>
    </row>
    <row r="57" spans="1:10" ht="12.75">
      <c r="A57" s="1" t="s">
        <v>93</v>
      </c>
      <c r="E57" s="1" t="s">
        <v>94</v>
      </c>
      <c r="J57" s="44"/>
    </row>
    <row r="58" ht="12.75">
      <c r="J58" s="44"/>
    </row>
    <row r="59" ht="12.75">
      <c r="J59" s="44"/>
    </row>
    <row r="60" spans="1:10" ht="12.75">
      <c r="A60" s="1" t="s">
        <v>95</v>
      </c>
      <c r="J60" s="44"/>
    </row>
    <row r="61" ht="12.75">
      <c r="J61" s="44"/>
    </row>
    <row r="62" ht="12.75">
      <c r="J62" s="44"/>
    </row>
    <row r="63" spans="1:10" ht="12.75">
      <c r="A63" s="48"/>
      <c r="B63" s="48"/>
      <c r="C63" s="48"/>
      <c r="J63" s="44"/>
    </row>
    <row r="64" spans="1:10" ht="12.75">
      <c r="A64" s="1" t="s">
        <v>92</v>
      </c>
      <c r="J64" s="44"/>
    </row>
    <row r="65" spans="1:10" ht="12.75">
      <c r="A65" s="1" t="s">
        <v>96</v>
      </c>
      <c r="J65" s="44"/>
    </row>
    <row r="66" ht="12.75">
      <c r="J66" s="44"/>
    </row>
    <row r="67" ht="12.75">
      <c r="J67" s="44"/>
    </row>
    <row r="68" ht="12.75">
      <c r="J68" s="44"/>
    </row>
    <row r="69" ht="12.75">
      <c r="J69" s="44"/>
    </row>
    <row r="70" ht="12.75">
      <c r="J70" s="44"/>
    </row>
    <row r="71" ht="12.75">
      <c r="J71" s="44"/>
    </row>
    <row r="72" ht="12.75">
      <c r="J72" s="44"/>
    </row>
    <row r="73" ht="12.75">
      <c r="J73" s="44"/>
    </row>
    <row r="74" ht="12.75">
      <c r="J74" s="44"/>
    </row>
    <row r="75" ht="12.75">
      <c r="J75" s="44"/>
    </row>
    <row r="76" ht="12.75">
      <c r="J76" s="44"/>
    </row>
    <row r="77" ht="12.75">
      <c r="J77" s="44"/>
    </row>
    <row r="78" spans="9:10" ht="12.75">
      <c r="I78" s="83"/>
      <c r="J78" s="44"/>
    </row>
    <row r="79" ht="12.75">
      <c r="J79" s="44"/>
    </row>
    <row r="80" ht="12.75">
      <c r="J80" s="44"/>
    </row>
    <row r="81" ht="12.75">
      <c r="J81" s="44"/>
    </row>
    <row r="82" ht="12.75">
      <c r="J82" s="44"/>
    </row>
    <row r="83" ht="12.75">
      <c r="J83" s="44"/>
    </row>
    <row r="84" ht="12.75">
      <c r="J84" s="44"/>
    </row>
    <row r="85" ht="12.75">
      <c r="J85" s="44"/>
    </row>
    <row r="86" ht="12.75">
      <c r="J86" s="44"/>
    </row>
    <row r="87" ht="12.75">
      <c r="J87" s="44"/>
    </row>
    <row r="88" ht="12.75">
      <c r="J88" s="44"/>
    </row>
    <row r="89" ht="12.75">
      <c r="J89" s="44"/>
    </row>
    <row r="90" ht="12.75">
      <c r="J90" s="44"/>
    </row>
    <row r="91" ht="12.75">
      <c r="J91" s="44"/>
    </row>
    <row r="92" ht="12.75">
      <c r="J92" s="44"/>
    </row>
    <row r="93" ht="12.75">
      <c r="J93" s="44"/>
    </row>
    <row r="94" ht="12.75">
      <c r="J94" s="44"/>
    </row>
    <row r="95" ht="12.75">
      <c r="J95" s="44"/>
    </row>
    <row r="96" ht="12.75">
      <c r="J96" s="44"/>
    </row>
    <row r="97" ht="12.75">
      <c r="J97" s="44"/>
    </row>
    <row r="98" ht="12.75">
      <c r="J98" s="44"/>
    </row>
    <row r="99" ht="12.75">
      <c r="J99" s="44"/>
    </row>
    <row r="100" ht="12.75">
      <c r="J100" s="44"/>
    </row>
    <row r="101" spans="9:10" ht="12.75">
      <c r="I101" s="83"/>
      <c r="J101" s="44"/>
    </row>
    <row r="102" ht="12.75">
      <c r="J102" s="44"/>
    </row>
    <row r="103" ht="12.75">
      <c r="J103" s="44"/>
    </row>
    <row r="104" ht="12.75">
      <c r="J104" s="44"/>
    </row>
    <row r="105" ht="12.75">
      <c r="J105" s="44"/>
    </row>
    <row r="106" ht="12.75">
      <c r="J106" s="44"/>
    </row>
    <row r="107" ht="12.75">
      <c r="J107" s="44"/>
    </row>
    <row r="108" ht="12.75">
      <c r="J108" s="44"/>
    </row>
    <row r="109" ht="12.75">
      <c r="J109" s="44"/>
    </row>
    <row r="110" ht="12.75">
      <c r="J110" s="44"/>
    </row>
    <row r="111" ht="12.75">
      <c r="J111" s="44"/>
    </row>
    <row r="112" ht="12.75">
      <c r="J112" s="44"/>
    </row>
    <row r="113" ht="12.75">
      <c r="J113" s="44"/>
    </row>
    <row r="114" ht="12.75">
      <c r="J114" s="44"/>
    </row>
    <row r="115" ht="12.75">
      <c r="J115" s="44"/>
    </row>
    <row r="116" ht="12.75">
      <c r="J116" s="44"/>
    </row>
    <row r="117" ht="12.75">
      <c r="J117" s="44"/>
    </row>
    <row r="118" ht="12.75">
      <c r="J118" s="44"/>
    </row>
    <row r="119" ht="12.75">
      <c r="J119" s="44"/>
    </row>
    <row r="120" ht="12.75">
      <c r="J120" s="44"/>
    </row>
    <row r="121" ht="12.75">
      <c r="J121" s="44"/>
    </row>
    <row r="122" ht="12.75">
      <c r="J122" s="44"/>
    </row>
    <row r="123" ht="12.75">
      <c r="J123" s="44"/>
    </row>
    <row r="124" ht="12.75">
      <c r="J124" s="44"/>
    </row>
    <row r="125" spans="9:10" ht="12.75">
      <c r="I125" s="83"/>
      <c r="J125" s="44"/>
    </row>
    <row r="126" ht="12.75">
      <c r="J126" s="44"/>
    </row>
    <row r="127" ht="12.75">
      <c r="J127" s="44"/>
    </row>
    <row r="128" ht="12.75">
      <c r="J128" s="44"/>
    </row>
    <row r="129" ht="12.75">
      <c r="J129" s="44"/>
    </row>
    <row r="130" ht="12.75">
      <c r="J130" s="44"/>
    </row>
    <row r="131" ht="12.75">
      <c r="J131" s="44"/>
    </row>
    <row r="132" ht="12.75">
      <c r="J132" s="44"/>
    </row>
    <row r="133" ht="12.75">
      <c r="J133" s="44"/>
    </row>
    <row r="134" ht="12.75">
      <c r="J134" s="44"/>
    </row>
    <row r="135" ht="12.75">
      <c r="J135" s="44"/>
    </row>
    <row r="136" ht="12.75">
      <c r="J136" s="44"/>
    </row>
    <row r="137" ht="12.75">
      <c r="J137" s="44"/>
    </row>
    <row r="138" ht="12.75">
      <c r="J138" s="44"/>
    </row>
    <row r="139" ht="12.75">
      <c r="J139" s="44"/>
    </row>
    <row r="140" ht="12.75">
      <c r="J140" s="44"/>
    </row>
    <row r="141" ht="12.75">
      <c r="J141" s="44"/>
    </row>
    <row r="142" ht="12.75">
      <c r="J142" s="44"/>
    </row>
    <row r="143" ht="12.75">
      <c r="J143" s="44"/>
    </row>
    <row r="144" ht="12.75">
      <c r="J144" s="44"/>
    </row>
    <row r="145" ht="12.75">
      <c r="J145" s="44"/>
    </row>
    <row r="146" ht="12.75">
      <c r="J146" s="44"/>
    </row>
    <row r="147" ht="12.75">
      <c r="J147" s="44"/>
    </row>
    <row r="148" ht="12.75">
      <c r="J148" s="44"/>
    </row>
    <row r="149" ht="12.75">
      <c r="J149" s="44"/>
    </row>
    <row r="150" ht="12.75">
      <c r="J150" s="44"/>
    </row>
    <row r="151" ht="12.75">
      <c r="J151" s="44"/>
    </row>
    <row r="152" ht="12.75">
      <c r="J152" s="44"/>
    </row>
    <row r="153" ht="12.75">
      <c r="J153" s="44"/>
    </row>
    <row r="154" ht="12.75">
      <c r="J154" s="44"/>
    </row>
    <row r="155" ht="12.75">
      <c r="J155" s="44"/>
    </row>
    <row r="156" ht="12.75">
      <c r="J156" s="44"/>
    </row>
    <row r="157" ht="12.75">
      <c r="J157" s="44"/>
    </row>
    <row r="158" ht="12.75">
      <c r="J158" s="44"/>
    </row>
    <row r="159" ht="12.75">
      <c r="J159" s="44"/>
    </row>
    <row r="160" ht="12.75">
      <c r="J160" s="44"/>
    </row>
    <row r="161" spans="9:10" ht="12.75">
      <c r="I161" s="83"/>
      <c r="J161" s="44"/>
    </row>
    <row r="162" ht="12.75">
      <c r="J162" s="44"/>
    </row>
    <row r="163" ht="12.75">
      <c r="J163" s="44"/>
    </row>
    <row r="164" ht="12.75">
      <c r="J164" s="44"/>
    </row>
    <row r="165" ht="12.75">
      <c r="J165" s="44"/>
    </row>
    <row r="166" ht="12.75">
      <c r="J166" s="44"/>
    </row>
    <row r="167" ht="12.75">
      <c r="J167" s="44"/>
    </row>
    <row r="168" ht="12.75">
      <c r="J168" s="44"/>
    </row>
    <row r="169" ht="12.75">
      <c r="J169" s="44"/>
    </row>
    <row r="170" ht="12.75">
      <c r="J170" s="44"/>
    </row>
    <row r="171" ht="12.75">
      <c r="J171" s="44"/>
    </row>
    <row r="172" ht="12.75">
      <c r="J172" s="44"/>
    </row>
    <row r="173" ht="12.75">
      <c r="J173" s="44"/>
    </row>
    <row r="174" ht="12.75">
      <c r="J174" s="44"/>
    </row>
    <row r="175" ht="12.75">
      <c r="J175" s="44"/>
    </row>
    <row r="176" ht="12.75">
      <c r="J176" s="44"/>
    </row>
    <row r="177" ht="12.75">
      <c r="J177" s="44"/>
    </row>
    <row r="178" ht="12.75">
      <c r="J178" s="44"/>
    </row>
    <row r="179" ht="12.75">
      <c r="J179" s="44"/>
    </row>
    <row r="180" ht="12.75">
      <c r="J180" s="44"/>
    </row>
    <row r="181" ht="12.75">
      <c r="J181" s="44"/>
    </row>
    <row r="182" ht="12.75">
      <c r="J182" s="44"/>
    </row>
    <row r="183" ht="12.75">
      <c r="J183" s="44"/>
    </row>
    <row r="184" ht="12.75">
      <c r="J184" s="44"/>
    </row>
    <row r="185" ht="12.75">
      <c r="J185" s="44"/>
    </row>
    <row r="186" ht="12.75">
      <c r="J186" s="44"/>
    </row>
    <row r="187" ht="12.75">
      <c r="J187" s="44"/>
    </row>
    <row r="188" ht="12.75">
      <c r="J188" s="44"/>
    </row>
    <row r="189" ht="12.75">
      <c r="J189" s="44"/>
    </row>
    <row r="190" ht="12.75">
      <c r="J190" s="44"/>
    </row>
    <row r="191" ht="12.75">
      <c r="J191" s="44"/>
    </row>
    <row r="192" ht="12.75">
      <c r="J192" s="44"/>
    </row>
    <row r="193" ht="12.75">
      <c r="J193" s="44"/>
    </row>
    <row r="194" ht="12.75">
      <c r="J194" s="44"/>
    </row>
    <row r="195" ht="12.75">
      <c r="J195" s="44"/>
    </row>
    <row r="196" ht="12.75">
      <c r="J196" s="44"/>
    </row>
    <row r="197" ht="12.75">
      <c r="J197" s="44"/>
    </row>
    <row r="198" ht="12.75">
      <c r="J198" s="44"/>
    </row>
    <row r="199" ht="12.75">
      <c r="J199" s="44"/>
    </row>
    <row r="200" ht="12.75">
      <c r="J200" s="44"/>
    </row>
    <row r="201" ht="12.75">
      <c r="J201" s="44"/>
    </row>
    <row r="202" ht="12.75">
      <c r="J202" s="44"/>
    </row>
    <row r="203" ht="12.75">
      <c r="J203" s="44"/>
    </row>
    <row r="204" ht="12.75">
      <c r="J204" s="44"/>
    </row>
    <row r="205" ht="12.75">
      <c r="J205" s="44"/>
    </row>
    <row r="206" ht="12.75">
      <c r="J206" s="44"/>
    </row>
    <row r="207" ht="12.75">
      <c r="J207" s="44"/>
    </row>
    <row r="208" ht="12.75">
      <c r="J208" s="44"/>
    </row>
    <row r="209" ht="12.75">
      <c r="J209" s="44"/>
    </row>
    <row r="210" ht="12.75">
      <c r="J210" s="44"/>
    </row>
    <row r="211" ht="12.75">
      <c r="J211" s="44"/>
    </row>
    <row r="212" ht="12.75">
      <c r="J212" s="44"/>
    </row>
    <row r="213" ht="12.75">
      <c r="J213" s="44"/>
    </row>
    <row r="214" ht="12.75">
      <c r="J214" s="44"/>
    </row>
    <row r="215" ht="12.75">
      <c r="J215" s="44"/>
    </row>
    <row r="216" ht="12.75">
      <c r="J216" s="44"/>
    </row>
    <row r="217" ht="12.75">
      <c r="J217" s="44"/>
    </row>
    <row r="218" ht="12.75">
      <c r="J218" s="44"/>
    </row>
    <row r="219" ht="12.75">
      <c r="J219" s="44"/>
    </row>
    <row r="220" ht="12.75">
      <c r="J220" s="44"/>
    </row>
    <row r="221" ht="12.75">
      <c r="J221" s="44"/>
    </row>
  </sheetData>
  <sheetProtection/>
  <mergeCells count="19">
    <mergeCell ref="A35:B35"/>
    <mergeCell ref="A38:G38"/>
    <mergeCell ref="A47:G47"/>
    <mergeCell ref="A23:G23"/>
    <mergeCell ref="A25:G25"/>
    <mergeCell ref="A32:B33"/>
    <mergeCell ref="C32:C33"/>
    <mergeCell ref="D32:D33"/>
    <mergeCell ref="E32:E33"/>
    <mergeCell ref="A48:G48"/>
    <mergeCell ref="A49:G49"/>
    <mergeCell ref="F32:G32"/>
    <mergeCell ref="B2:F2"/>
    <mergeCell ref="B3:F3"/>
    <mergeCell ref="A4:G4"/>
    <mergeCell ref="F7:G7"/>
    <mergeCell ref="F8:G8"/>
    <mergeCell ref="A11:G11"/>
    <mergeCell ref="A34:B34"/>
  </mergeCells>
  <conditionalFormatting sqref="A32:C33">
    <cfRule type="expression" priority="1" dxfId="41" stopIfTrue="1">
      <formula>VALUE(NoDPSchedule)&lt;VALUE(LEFT(A32,2))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0"/>
  <sheetViews>
    <sheetView tabSelected="1" zoomScalePageLayoutView="0" workbookViewId="0" topLeftCell="A1">
      <selection activeCell="D25" sqref="D25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21.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7" ht="14.25" customHeight="1">
      <c r="A1" s="2"/>
      <c r="B1" s="132" t="s">
        <v>0</v>
      </c>
      <c r="C1" s="132"/>
      <c r="D1" s="132"/>
      <c r="E1" s="132"/>
      <c r="F1" s="132"/>
      <c r="G1" s="3"/>
    </row>
    <row r="2" spans="1:7" ht="14.25" customHeight="1">
      <c r="A2" s="4"/>
      <c r="B2" s="133" t="s">
        <v>1</v>
      </c>
      <c r="C2" s="133"/>
      <c r="D2" s="133"/>
      <c r="E2" s="133"/>
      <c r="F2" s="133"/>
      <c r="G2" s="5"/>
    </row>
    <row r="3" spans="1:7" ht="30" customHeight="1">
      <c r="A3" s="134" t="s">
        <v>2</v>
      </c>
      <c r="B3" s="135"/>
      <c r="C3" s="135"/>
      <c r="D3" s="135"/>
      <c r="E3" s="135"/>
      <c r="F3" s="135"/>
      <c r="G3" s="136"/>
    </row>
    <row r="4" spans="1:7" ht="15" customHeight="1">
      <c r="A4" s="6">
        <f>IF(A47&lt;=12,12,A47)</f>
        <v>24</v>
      </c>
      <c r="B4" s="7"/>
      <c r="C4" s="7"/>
      <c r="D4" s="8" t="str">
        <f>IF(A47&gt;G5,"TERM IS SUBJECT FOR APPROVAL","SAMPLE COMPUTATION ONLY")</f>
        <v>SAMPLE COMPUTATION ONLY</v>
      </c>
      <c r="E4" s="7"/>
      <c r="F4" s="7"/>
      <c r="G4" s="9"/>
    </row>
    <row r="5" ht="13.5" customHeight="1">
      <c r="G5" s="10">
        <v>36</v>
      </c>
    </row>
    <row r="6" spans="1:7" ht="12.75">
      <c r="A6" s="11" t="s">
        <v>3</v>
      </c>
      <c r="B6" s="11" t="s">
        <v>4</v>
      </c>
      <c r="C6" s="11" t="s">
        <v>5</v>
      </c>
      <c r="D6" s="11" t="s">
        <v>6</v>
      </c>
      <c r="E6" s="11"/>
      <c r="F6" s="137" t="s">
        <v>7</v>
      </c>
      <c r="G6" s="137"/>
    </row>
    <row r="7" spans="1:7" ht="12.75">
      <c r="A7" s="12" t="s">
        <v>8</v>
      </c>
      <c r="B7" s="12">
        <v>1117</v>
      </c>
      <c r="C7" s="12">
        <v>11</v>
      </c>
      <c r="D7" s="12">
        <v>23.4</v>
      </c>
      <c r="E7" s="12"/>
      <c r="F7" s="138" t="s">
        <v>10</v>
      </c>
      <c r="G7" s="138"/>
    </row>
    <row r="10" spans="1:7" ht="12.75">
      <c r="A10" s="13" t="s">
        <v>11</v>
      </c>
      <c r="B10" s="13"/>
      <c r="C10" s="14"/>
      <c r="D10" s="15"/>
      <c r="E10" s="15"/>
      <c r="F10" s="16" t="s">
        <v>12</v>
      </c>
      <c r="G10" s="17">
        <v>5308000</v>
      </c>
    </row>
    <row r="11" spans="1:7" ht="12.75">
      <c r="A11" s="1" t="s">
        <v>13</v>
      </c>
      <c r="B11" s="1" t="s">
        <v>14</v>
      </c>
      <c r="C11" s="18"/>
      <c r="F11" s="19"/>
      <c r="G11" s="20">
        <f>ROUND(IF(ISERROR(FIND("PARKING",Model,1)),IF(SellingPrice&gt;3199200,(G10-(G10/1.12)),0),(G10-(G10/1.12))),2)</f>
        <v>568714.29</v>
      </c>
    </row>
    <row r="12" spans="1:10" ht="12.75">
      <c r="A12" s="21">
        <v>10</v>
      </c>
      <c r="B12" s="1" t="str">
        <f>CONCATENATE(A12,"% Discount on ",A39,"% SFDP")</f>
        <v>10% Discount on 10% SFDP</v>
      </c>
      <c r="F12" s="19"/>
      <c r="G12" s="22">
        <f>((G10-G11)-Discount2Value)*(PercentageDiscount/100)*(SpotDownpayment/100)</f>
        <v>47392.85710000001</v>
      </c>
      <c r="I12" s="22"/>
      <c r="J12" s="22"/>
    </row>
    <row r="13" spans="2:10" ht="12.75" hidden="1">
      <c r="B13" s="1" t="s">
        <v>15</v>
      </c>
      <c r="G13" s="22">
        <v>0</v>
      </c>
      <c r="I13" s="22"/>
      <c r="J13" s="22"/>
    </row>
    <row r="14" spans="2:10" ht="12.75" hidden="1">
      <c r="B14" s="1" t="s">
        <v>16</v>
      </c>
      <c r="G14" s="22">
        <v>0</v>
      </c>
      <c r="I14" s="22"/>
      <c r="J14" s="22"/>
    </row>
    <row r="15" spans="2:9" ht="12.75" hidden="1">
      <c r="B15" s="1" t="s">
        <v>17</v>
      </c>
      <c r="G15" s="22">
        <v>0</v>
      </c>
      <c r="I15" s="22"/>
    </row>
    <row r="16" spans="2:9" ht="12.75" hidden="1">
      <c r="B16" s="1" t="s">
        <v>18</v>
      </c>
      <c r="G16" s="22">
        <v>0</v>
      </c>
      <c r="I16" s="22"/>
    </row>
    <row r="17" spans="2:9" ht="12.75" hidden="1">
      <c r="B17" s="1" t="s">
        <v>19</v>
      </c>
      <c r="G17" s="22">
        <v>0</v>
      </c>
      <c r="I17" s="22"/>
    </row>
    <row r="18" spans="2:10" ht="12.75" hidden="1">
      <c r="B18" s="1" t="s">
        <v>20</v>
      </c>
      <c r="G18" s="22">
        <v>0</v>
      </c>
      <c r="H18" s="22"/>
      <c r="I18" s="22"/>
      <c r="J18" s="22"/>
    </row>
    <row r="19" spans="2:10" ht="12.75" hidden="1">
      <c r="B19" s="1" t="s">
        <v>21</v>
      </c>
      <c r="G19" s="22">
        <v>0</v>
      </c>
      <c r="J19" s="22"/>
    </row>
    <row r="20" spans="2:10" ht="12.75" hidden="1">
      <c r="B20" s="1" t="s">
        <v>22</v>
      </c>
      <c r="G20" s="22">
        <v>0</v>
      </c>
      <c r="J20" s="22"/>
    </row>
    <row r="21" spans="2:10" ht="12.75" hidden="1">
      <c r="B21" s="1" t="s">
        <v>23</v>
      </c>
      <c r="G21" s="22">
        <v>0</v>
      </c>
      <c r="J21" s="22"/>
    </row>
    <row r="22" spans="2:10" ht="12.75" hidden="1">
      <c r="B22" s="1" t="s">
        <v>24</v>
      </c>
      <c r="G22" s="22">
        <v>0</v>
      </c>
      <c r="J22" s="22"/>
    </row>
    <row r="23" spans="6:10" ht="13.5" customHeight="1">
      <c r="F23" s="19"/>
      <c r="G23" s="23"/>
      <c r="J23" s="22"/>
    </row>
    <row r="24" spans="1:7" ht="13.5" customHeight="1">
      <c r="A24" s="13" t="s">
        <v>25</v>
      </c>
      <c r="B24" s="24"/>
      <c r="C24" s="15"/>
      <c r="D24" s="15"/>
      <c r="E24" s="15"/>
      <c r="F24" s="16" t="s">
        <v>12</v>
      </c>
      <c r="G24" s="25">
        <f>(SellingPrice-G11)-SUM(G12:G22)</f>
        <v>4691892.8529</v>
      </c>
    </row>
    <row r="25" spans="1:9" ht="12.75">
      <c r="A25" s="1" t="s">
        <v>26</v>
      </c>
      <c r="B25" s="1" t="s">
        <v>14</v>
      </c>
      <c r="G25" s="22">
        <f>ROUND(IF(ISERROR(FIND("PARKING",Model,1)),IF(G24&gt;3199200,G24*12%,0),G24*12%),2)</f>
        <v>563027.14</v>
      </c>
      <c r="I25" s="22"/>
    </row>
    <row r="26" spans="1:7" ht="12.75" hidden="1">
      <c r="A26" s="21">
        <v>7</v>
      </c>
      <c r="B26" s="1" t="s">
        <v>27</v>
      </c>
      <c r="G26" s="22">
        <f>ROUND(G24*(A26/100),2)</f>
        <v>328432.5</v>
      </c>
    </row>
    <row r="27" spans="1:7" ht="12.75" hidden="1">
      <c r="A27" s="21"/>
      <c r="B27" s="1" t="s">
        <v>28</v>
      </c>
      <c r="F27" s="21">
        <f>IF(G27&gt;50000,50000,G27)</f>
        <v>0</v>
      </c>
      <c r="G27" s="22">
        <v>0</v>
      </c>
    </row>
    <row r="28" spans="1:7" ht="12.75" hidden="1">
      <c r="A28" s="21"/>
      <c r="B28" s="1" t="s">
        <v>29</v>
      </c>
      <c r="G28" s="22">
        <v>0</v>
      </c>
    </row>
    <row r="29" spans="1:7" ht="13.5" customHeight="1">
      <c r="A29" s="21"/>
      <c r="B29" s="1" t="s">
        <v>27</v>
      </c>
      <c r="G29" s="22">
        <f>ROUND(SUM(G26,G28,F27),2)</f>
        <v>328432.5</v>
      </c>
    </row>
    <row r="30" spans="1:7" ht="13.5" customHeight="1">
      <c r="A30" s="13" t="s">
        <v>30</v>
      </c>
      <c r="B30" s="15"/>
      <c r="C30" s="15"/>
      <c r="D30" s="15"/>
      <c r="E30" s="15"/>
      <c r="F30" s="16" t="s">
        <v>12</v>
      </c>
      <c r="G30" s="25">
        <f>G24+SUM(G25,G29)</f>
        <v>5583352.4929</v>
      </c>
    </row>
    <row r="32" ht="12.75">
      <c r="A32" s="26" t="s">
        <v>31</v>
      </c>
    </row>
    <row r="33" spans="1:7" ht="12.75">
      <c r="A33" s="27">
        <v>20</v>
      </c>
      <c r="B33" s="1" t="str">
        <f>CONCATENATE("Downpayment ("&amp;A33&amp;"% of Selling Price)")</f>
        <v>Downpayment (20% of Selling Price)</v>
      </c>
      <c r="G33" s="22">
        <f>ROUND((G24+G25)*(A33/100),2)</f>
        <v>1050984</v>
      </c>
    </row>
    <row r="34" spans="1:7" ht="13.5" customHeight="1">
      <c r="A34" s="26"/>
      <c r="B34" s="1" t="s">
        <v>32</v>
      </c>
      <c r="G34" s="22">
        <f>ROUND(G29*(A33/100),2)</f>
        <v>65686.5</v>
      </c>
    </row>
    <row r="35" spans="1:7" ht="13.5" customHeight="1">
      <c r="A35" s="13" t="s">
        <v>33</v>
      </c>
      <c r="B35" s="15"/>
      <c r="C35" s="15"/>
      <c r="D35" s="15"/>
      <c r="E35" s="15"/>
      <c r="F35" s="16" t="s">
        <v>12</v>
      </c>
      <c r="G35" s="25">
        <f>SUM(G33:G34)</f>
        <v>1116670.5</v>
      </c>
    </row>
    <row r="36" spans="1:7" ht="13.5" customHeight="1">
      <c r="A36" s="1" t="s">
        <v>13</v>
      </c>
      <c r="B36" s="1" t="s">
        <v>34</v>
      </c>
      <c r="F36" s="28">
        <f ca="1">NOW()</f>
        <v>43775.44727094907</v>
      </c>
      <c r="G36" s="22">
        <v>20000</v>
      </c>
    </row>
    <row r="37" spans="1:7" ht="13.5" customHeight="1">
      <c r="A37" s="13" t="s">
        <v>35</v>
      </c>
      <c r="B37" s="15"/>
      <c r="C37" s="15"/>
      <c r="D37" s="15"/>
      <c r="E37" s="29"/>
      <c r="F37" s="16" t="s">
        <v>12</v>
      </c>
      <c r="G37" s="25">
        <f>G35-G36</f>
        <v>1096670.5</v>
      </c>
    </row>
    <row r="39" spans="1:10" ht="12.75">
      <c r="A39" s="21">
        <v>10</v>
      </c>
      <c r="B39" s="1" t="str">
        <f>CONCATENATE("Spot Downpayment ("&amp;A39&amp;"% of Selling Price)")</f>
        <v>Spot Downpayment (10% of Selling Price)</v>
      </c>
      <c r="E39" s="30"/>
      <c r="F39" s="28"/>
      <c r="G39" s="22">
        <f>ROUND((SUM(G24:G25)*(A39/100))-G36,2)</f>
        <v>505492</v>
      </c>
      <c r="H39" s="22"/>
      <c r="I39" s="22"/>
      <c r="J39" s="31"/>
    </row>
    <row r="40" spans="2:10" ht="13.5" customHeight="1">
      <c r="B40" s="1" t="s">
        <v>27</v>
      </c>
      <c r="E40" s="30"/>
      <c r="F40" s="28"/>
      <c r="G40" s="22">
        <f>ROUND(G29*(A39/100),2)</f>
        <v>32843.25</v>
      </c>
      <c r="J40" s="22"/>
    </row>
    <row r="41" spans="2:7" ht="13.5" customHeight="1">
      <c r="B41" s="32" t="s">
        <v>36</v>
      </c>
      <c r="E41" s="30"/>
      <c r="F41" s="28">
        <f>ReservationDate+19</f>
        <v>43794.44727094907</v>
      </c>
      <c r="G41" s="33">
        <f>SUM(G39:G40)</f>
        <v>538335.25</v>
      </c>
    </row>
    <row r="42" spans="2:7" ht="12.75">
      <c r="B42" s="34"/>
      <c r="E42" s="30"/>
      <c r="F42" s="28"/>
      <c r="G42" s="35"/>
    </row>
    <row r="43" spans="1:7" ht="12.75">
      <c r="A43" s="21">
        <f>A33-A39</f>
        <v>10</v>
      </c>
      <c r="B43" s="36" t="str">
        <f>CONCATENATE("Streched Downpayment ("&amp;A43&amp;"% of Selling Price)")</f>
        <v>Streched Downpayment (10% of Selling Price)</v>
      </c>
      <c r="E43" s="30"/>
      <c r="F43" s="28"/>
      <c r="G43" s="22">
        <f>G33-G39-ReservationFee</f>
        <v>525492</v>
      </c>
    </row>
    <row r="44" spans="2:7" ht="13.5" customHeight="1">
      <c r="B44" s="36" t="s">
        <v>27</v>
      </c>
      <c r="E44" s="30"/>
      <c r="F44" s="28"/>
      <c r="G44" s="22">
        <f>SUM(G34:G34)-G40</f>
        <v>32843.25</v>
      </c>
    </row>
    <row r="45" spans="2:7" ht="13.5" customHeight="1">
      <c r="B45" s="32" t="str">
        <f>CONCATENATE("Total Streched DP and Other Charges payable in "&amp;A47&amp;" months")</f>
        <v>Total Streched DP and Other Charges payable in 24 months</v>
      </c>
      <c r="E45" s="30"/>
      <c r="F45" s="28"/>
      <c r="G45" s="33">
        <f>SUM(G43:G44)</f>
        <v>558335.25</v>
      </c>
    </row>
    <row r="46" spans="2:7" ht="12.75">
      <c r="B46" s="36"/>
      <c r="E46" s="30"/>
      <c r="F46" s="28"/>
      <c r="G46" s="35"/>
    </row>
    <row r="47" spans="1:7" ht="25.5" customHeight="1">
      <c r="A47" s="37">
        <v>24</v>
      </c>
      <c r="B47" s="156" t="s">
        <v>37</v>
      </c>
      <c r="C47" s="156"/>
      <c r="D47" s="38" t="s">
        <v>38</v>
      </c>
      <c r="E47" s="39" t="s">
        <v>39</v>
      </c>
      <c r="F47" s="40" t="s">
        <v>27</v>
      </c>
      <c r="G47" s="41" t="s">
        <v>40</v>
      </c>
    </row>
    <row r="48" spans="1:7" ht="12.75">
      <c r="A48" s="155" t="s">
        <v>41</v>
      </c>
      <c r="B48" s="155"/>
      <c r="C48" s="155"/>
      <c r="D48" s="42">
        <f>IF(AND(DAY(F41)&gt;2,DAY(F41)&lt;19),DATE(YEAR(F41+30),MONTH(F41+30),DAY(17)),DATE(YEAR(F41+30),IF(DAY(F41)&gt;18,MONTH(F41+30)+1,MONTH(F41+30)),DAY(2)))</f>
        <v>43832</v>
      </c>
      <c r="E48" s="20">
        <f>ROUND(G43/A47,2)</f>
        <v>21895.5</v>
      </c>
      <c r="F48" s="43">
        <f>ROUND(G44/A47,2)</f>
        <v>1368.47</v>
      </c>
      <c r="G48" s="22">
        <f>SUM(E48:F48)</f>
        <v>23263.97</v>
      </c>
    </row>
    <row r="49" spans="1:7" ht="12.75">
      <c r="A49" s="155" t="s">
        <v>42</v>
      </c>
      <c r="B49" s="155"/>
      <c r="C49" s="155"/>
      <c r="D49" s="42">
        <f>IF($A$47&lt;VALUE(LEFT(A49,1))," ",DATE(YEAR(D48+30),MONTH(D48+30),DAY(D48)))</f>
        <v>43863</v>
      </c>
      <c r="E49" s="20">
        <f>IF($A$47&lt;VALUE(LEFT(A49,1))," ",IF($A$47=VALUE(LEFT(A49,1)),$G$43-($E$48*($A$47-1)),E48))</f>
        <v>21895.5</v>
      </c>
      <c r="F49" s="43">
        <f>IF($A$47&lt;VALUE(LEFT(A49,1))," ",IF($A$47=VALUE(LEFT(A49,1)),$G$44-($F$48*($A$47-1)),F48))</f>
        <v>1368.47</v>
      </c>
      <c r="G49" s="22">
        <f>IF($A$47&lt;VALUE(LEFT(A49,1))," ",SUM(E49:F49))</f>
        <v>23263.97</v>
      </c>
    </row>
    <row r="50" spans="1:7" ht="12.75">
      <c r="A50" s="155" t="s">
        <v>43</v>
      </c>
      <c r="B50" s="155"/>
      <c r="C50" s="155"/>
      <c r="D50" s="42">
        <f>IF($A$47&lt;VALUE(LEFT(A50,1))," ",DATE(YEAR(D49+30),MONTH(D49+30),DAY(D49)))</f>
        <v>43892</v>
      </c>
      <c r="E50" s="20">
        <f aca="true" t="shared" si="0" ref="E50:E56">IF($A$47&lt;VALUE(LEFT(A50,1))," ",IF($A$47=VALUE(LEFT(A50,1)),$G$43-($E$48*($A$47-1)),E49))</f>
        <v>21895.5</v>
      </c>
      <c r="F50" s="43">
        <f aca="true" t="shared" si="1" ref="F50:F56">IF($A$47&lt;VALUE(LEFT(A50,1))," ",IF($A$47=VALUE(LEFT(A50,1)),$G$44-($F$48*($A$47-1)),F49))</f>
        <v>1368.47</v>
      </c>
      <c r="G50" s="22">
        <f aca="true" t="shared" si="2" ref="G50:G56">IF($A$47&lt;VALUE(LEFT(A50,1))," ",SUM(E50:F50))</f>
        <v>23263.97</v>
      </c>
    </row>
    <row r="51" spans="1:7" ht="12.75">
      <c r="A51" s="155" t="s">
        <v>44</v>
      </c>
      <c r="B51" s="155"/>
      <c r="C51" s="155"/>
      <c r="D51" s="42">
        <f aca="true" t="shared" si="3" ref="D51:D56">IF($A$47&lt;VALUE(LEFT(A51,1))," ",DATE(YEAR(D50+30),MONTH(D50+30),DAY(D50)))</f>
        <v>43923</v>
      </c>
      <c r="E51" s="20">
        <f t="shared" si="0"/>
        <v>21895.5</v>
      </c>
      <c r="F51" s="43">
        <f t="shared" si="1"/>
        <v>1368.47</v>
      </c>
      <c r="G51" s="22">
        <f t="shared" si="2"/>
        <v>23263.97</v>
      </c>
    </row>
    <row r="52" spans="1:7" ht="12.75">
      <c r="A52" s="155" t="s">
        <v>45</v>
      </c>
      <c r="B52" s="155"/>
      <c r="C52" s="155"/>
      <c r="D52" s="42">
        <f t="shared" si="3"/>
        <v>43953</v>
      </c>
      <c r="E52" s="20">
        <f t="shared" si="0"/>
        <v>21895.5</v>
      </c>
      <c r="F52" s="43">
        <f t="shared" si="1"/>
        <v>1368.47</v>
      </c>
      <c r="G52" s="22">
        <f t="shared" si="2"/>
        <v>23263.97</v>
      </c>
    </row>
    <row r="53" spans="1:7" ht="12.75">
      <c r="A53" s="155" t="s">
        <v>46</v>
      </c>
      <c r="B53" s="155"/>
      <c r="C53" s="155"/>
      <c r="D53" s="42">
        <f t="shared" si="3"/>
        <v>43984</v>
      </c>
      <c r="E53" s="20">
        <f t="shared" si="0"/>
        <v>21895.5</v>
      </c>
      <c r="F53" s="43">
        <f t="shared" si="1"/>
        <v>1368.47</v>
      </c>
      <c r="G53" s="22">
        <f t="shared" si="2"/>
        <v>23263.97</v>
      </c>
    </row>
    <row r="54" spans="1:7" ht="12.75">
      <c r="A54" s="155" t="s">
        <v>47</v>
      </c>
      <c r="B54" s="155"/>
      <c r="C54" s="155"/>
      <c r="D54" s="42">
        <f t="shared" si="3"/>
        <v>44014</v>
      </c>
      <c r="E54" s="20">
        <f t="shared" si="0"/>
        <v>21895.5</v>
      </c>
      <c r="F54" s="43">
        <f t="shared" si="1"/>
        <v>1368.47</v>
      </c>
      <c r="G54" s="22">
        <f t="shared" si="2"/>
        <v>23263.97</v>
      </c>
    </row>
    <row r="55" spans="1:7" ht="12.75">
      <c r="A55" s="155" t="s">
        <v>48</v>
      </c>
      <c r="B55" s="155"/>
      <c r="C55" s="155"/>
      <c r="D55" s="42">
        <f t="shared" si="3"/>
        <v>44045</v>
      </c>
      <c r="E55" s="20">
        <f t="shared" si="0"/>
        <v>21895.5</v>
      </c>
      <c r="F55" s="43">
        <f t="shared" si="1"/>
        <v>1368.47</v>
      </c>
      <c r="G55" s="22">
        <f t="shared" si="2"/>
        <v>23263.97</v>
      </c>
    </row>
    <row r="56" spans="1:7" ht="12.75">
      <c r="A56" s="155" t="s">
        <v>49</v>
      </c>
      <c r="B56" s="155"/>
      <c r="C56" s="155"/>
      <c r="D56" s="42">
        <f t="shared" si="3"/>
        <v>44076</v>
      </c>
      <c r="E56" s="20">
        <f t="shared" si="0"/>
        <v>21895.5</v>
      </c>
      <c r="F56" s="43">
        <f t="shared" si="1"/>
        <v>1368.47</v>
      </c>
      <c r="G56" s="22">
        <f t="shared" si="2"/>
        <v>23263.97</v>
      </c>
    </row>
    <row r="57" spans="1:7" ht="12.75">
      <c r="A57" s="155" t="s">
        <v>50</v>
      </c>
      <c r="B57" s="155"/>
      <c r="C57" s="155"/>
      <c r="D57" s="42">
        <f>IF($A$47&lt;VALUE(LEFT(A57,2))," ",DATE(YEAR(D56+30),MONTH(D56+30),DAY(D56)))</f>
        <v>44106</v>
      </c>
      <c r="E57" s="20">
        <f>IF($A$47&lt;VALUE(LEFT(A57,2))," ",IF($A$47=VALUE(LEFT(A57,2)),$G$43-($E$48*($A$47-1)),E56))</f>
        <v>21895.5</v>
      </c>
      <c r="F57" s="43">
        <f>IF($A$47&lt;VALUE(LEFT(A57,2))," ",IF($A$47=VALUE(LEFT(A57,2)),$G$44-($F$48*($A$47-1)),F56))</f>
        <v>1368.47</v>
      </c>
      <c r="G57" s="22">
        <f>IF($A$47&lt;VALUE(LEFT(A57,2))," ",SUM(E57:F57))</f>
        <v>23263.97</v>
      </c>
    </row>
    <row r="58" spans="1:7" ht="12.75">
      <c r="A58" s="155" t="s">
        <v>51</v>
      </c>
      <c r="B58" s="155"/>
      <c r="C58" s="155"/>
      <c r="D58" s="42">
        <f aca="true" t="shared" si="4" ref="D58:D71">IF($A$47&lt;VALUE(LEFT(A58,2))," ",DATE(YEAR(D57+30),MONTH(D57+30),DAY(D57)))</f>
        <v>44137</v>
      </c>
      <c r="E58" s="20">
        <f aca="true" t="shared" si="5" ref="E58:E71">IF($A$47&lt;VALUE(LEFT(A58,2))," ",IF($A$47=VALUE(LEFT(A58,2)),$G$43-($E$48*($A$47-1)),E57))</f>
        <v>21895.5</v>
      </c>
      <c r="F58" s="43">
        <f aca="true" t="shared" si="6" ref="F58:F71">IF($A$47&lt;VALUE(LEFT(A58,2))," ",IF($A$47=VALUE(LEFT(A58,2)),$G$44-($F$48*($A$47-1)),F57))</f>
        <v>1368.47</v>
      </c>
      <c r="G58" s="22">
        <f aca="true" t="shared" si="7" ref="G58:G71">IF($A$47&lt;VALUE(LEFT(A58,2))," ",SUM(E58:F58))</f>
        <v>23263.97</v>
      </c>
    </row>
    <row r="59" spans="1:7" ht="12.75">
      <c r="A59" s="155" t="s">
        <v>52</v>
      </c>
      <c r="B59" s="155"/>
      <c r="C59" s="155"/>
      <c r="D59" s="42">
        <f t="shared" si="4"/>
        <v>44167</v>
      </c>
      <c r="E59" s="20">
        <f t="shared" si="5"/>
        <v>21895.5</v>
      </c>
      <c r="F59" s="43">
        <f t="shared" si="6"/>
        <v>1368.47</v>
      </c>
      <c r="G59" s="22">
        <f t="shared" si="7"/>
        <v>23263.97</v>
      </c>
    </row>
    <row r="60" spans="1:7" ht="12.75">
      <c r="A60" s="155" t="s">
        <v>53</v>
      </c>
      <c r="B60" s="155"/>
      <c r="C60" s="155"/>
      <c r="D60" s="42">
        <f t="shared" si="4"/>
        <v>44198</v>
      </c>
      <c r="E60" s="20">
        <f t="shared" si="5"/>
        <v>21895.5</v>
      </c>
      <c r="F60" s="43">
        <f t="shared" si="6"/>
        <v>1368.47</v>
      </c>
      <c r="G60" s="22">
        <f t="shared" si="7"/>
        <v>23263.97</v>
      </c>
    </row>
    <row r="61" spans="1:7" ht="12.75">
      <c r="A61" s="155" t="s">
        <v>54</v>
      </c>
      <c r="B61" s="155"/>
      <c r="C61" s="155"/>
      <c r="D61" s="42">
        <f t="shared" si="4"/>
        <v>44229</v>
      </c>
      <c r="E61" s="20">
        <f t="shared" si="5"/>
        <v>21895.5</v>
      </c>
      <c r="F61" s="43">
        <f t="shared" si="6"/>
        <v>1368.47</v>
      </c>
      <c r="G61" s="22">
        <f t="shared" si="7"/>
        <v>23263.97</v>
      </c>
    </row>
    <row r="62" spans="1:7" ht="12.75">
      <c r="A62" s="155" t="s">
        <v>55</v>
      </c>
      <c r="B62" s="155"/>
      <c r="C62" s="155"/>
      <c r="D62" s="42">
        <f t="shared" si="4"/>
        <v>44257</v>
      </c>
      <c r="E62" s="20">
        <f t="shared" si="5"/>
        <v>21895.5</v>
      </c>
      <c r="F62" s="43">
        <f t="shared" si="6"/>
        <v>1368.47</v>
      </c>
      <c r="G62" s="22">
        <f t="shared" si="7"/>
        <v>23263.97</v>
      </c>
    </row>
    <row r="63" spans="1:7" ht="12.75">
      <c r="A63" s="155" t="s">
        <v>56</v>
      </c>
      <c r="B63" s="155"/>
      <c r="C63" s="155"/>
      <c r="D63" s="42">
        <f t="shared" si="4"/>
        <v>44288</v>
      </c>
      <c r="E63" s="20">
        <f t="shared" si="5"/>
        <v>21895.5</v>
      </c>
      <c r="F63" s="43">
        <f t="shared" si="6"/>
        <v>1368.47</v>
      </c>
      <c r="G63" s="22">
        <f t="shared" si="7"/>
        <v>23263.97</v>
      </c>
    </row>
    <row r="64" spans="1:7" ht="12.75">
      <c r="A64" s="155" t="s">
        <v>57</v>
      </c>
      <c r="B64" s="155"/>
      <c r="C64" s="155"/>
      <c r="D64" s="42">
        <f t="shared" si="4"/>
        <v>44318</v>
      </c>
      <c r="E64" s="20">
        <f t="shared" si="5"/>
        <v>21895.5</v>
      </c>
      <c r="F64" s="43">
        <f t="shared" si="6"/>
        <v>1368.47</v>
      </c>
      <c r="G64" s="22">
        <f t="shared" si="7"/>
        <v>23263.97</v>
      </c>
    </row>
    <row r="65" spans="1:7" ht="12.75">
      <c r="A65" s="155" t="s">
        <v>58</v>
      </c>
      <c r="B65" s="155"/>
      <c r="C65" s="155"/>
      <c r="D65" s="42">
        <f t="shared" si="4"/>
        <v>44349</v>
      </c>
      <c r="E65" s="20">
        <f t="shared" si="5"/>
        <v>21895.5</v>
      </c>
      <c r="F65" s="43">
        <f t="shared" si="6"/>
        <v>1368.47</v>
      </c>
      <c r="G65" s="22">
        <f t="shared" si="7"/>
        <v>23263.97</v>
      </c>
    </row>
    <row r="66" spans="1:7" ht="12.75">
      <c r="A66" s="155" t="s">
        <v>59</v>
      </c>
      <c r="B66" s="155"/>
      <c r="C66" s="155"/>
      <c r="D66" s="42">
        <f t="shared" si="4"/>
        <v>44379</v>
      </c>
      <c r="E66" s="20">
        <f t="shared" si="5"/>
        <v>21895.5</v>
      </c>
      <c r="F66" s="43">
        <f t="shared" si="6"/>
        <v>1368.47</v>
      </c>
      <c r="G66" s="22">
        <f t="shared" si="7"/>
        <v>23263.97</v>
      </c>
    </row>
    <row r="67" spans="1:7" ht="12.75">
      <c r="A67" s="155" t="s">
        <v>60</v>
      </c>
      <c r="B67" s="155"/>
      <c r="C67" s="155"/>
      <c r="D67" s="42">
        <f t="shared" si="4"/>
        <v>44410</v>
      </c>
      <c r="E67" s="20">
        <f t="shared" si="5"/>
        <v>21895.5</v>
      </c>
      <c r="F67" s="43">
        <f t="shared" si="6"/>
        <v>1368.47</v>
      </c>
      <c r="G67" s="22">
        <f t="shared" si="7"/>
        <v>23263.97</v>
      </c>
    </row>
    <row r="68" spans="1:7" ht="12.75">
      <c r="A68" s="155" t="s">
        <v>61</v>
      </c>
      <c r="B68" s="155"/>
      <c r="C68" s="155"/>
      <c r="D68" s="42">
        <f t="shared" si="4"/>
        <v>44441</v>
      </c>
      <c r="E68" s="20">
        <f t="shared" si="5"/>
        <v>21895.5</v>
      </c>
      <c r="F68" s="43">
        <f t="shared" si="6"/>
        <v>1368.47</v>
      </c>
      <c r="G68" s="22">
        <f t="shared" si="7"/>
        <v>23263.97</v>
      </c>
    </row>
    <row r="69" spans="1:7" ht="12.75">
      <c r="A69" s="155" t="s">
        <v>62</v>
      </c>
      <c r="B69" s="155"/>
      <c r="C69" s="155"/>
      <c r="D69" s="42">
        <f t="shared" si="4"/>
        <v>44471</v>
      </c>
      <c r="E69" s="20">
        <f t="shared" si="5"/>
        <v>21895.5</v>
      </c>
      <c r="F69" s="43">
        <f t="shared" si="6"/>
        <v>1368.47</v>
      </c>
      <c r="G69" s="22">
        <f t="shared" si="7"/>
        <v>23263.97</v>
      </c>
    </row>
    <row r="70" spans="1:7" ht="12.75">
      <c r="A70" s="155" t="s">
        <v>63</v>
      </c>
      <c r="B70" s="155"/>
      <c r="C70" s="155"/>
      <c r="D70" s="42">
        <f t="shared" si="4"/>
        <v>44502</v>
      </c>
      <c r="E70" s="20">
        <f t="shared" si="5"/>
        <v>21895.5</v>
      </c>
      <c r="F70" s="43">
        <f t="shared" si="6"/>
        <v>1368.47</v>
      </c>
      <c r="G70" s="22">
        <f t="shared" si="7"/>
        <v>23263.97</v>
      </c>
    </row>
    <row r="71" spans="1:7" ht="12.75">
      <c r="A71" s="155" t="s">
        <v>64</v>
      </c>
      <c r="B71" s="155"/>
      <c r="C71" s="155"/>
      <c r="D71" s="42">
        <f t="shared" si="4"/>
        <v>44532</v>
      </c>
      <c r="E71" s="20">
        <f t="shared" si="5"/>
        <v>21895.5</v>
      </c>
      <c r="F71" s="43">
        <f t="shared" si="6"/>
        <v>1368.4399999999987</v>
      </c>
      <c r="G71" s="22">
        <f t="shared" si="7"/>
        <v>23263.94</v>
      </c>
    </row>
    <row r="72" spans="1:7" ht="12.75" hidden="1">
      <c r="A72" s="155" t="s">
        <v>65</v>
      </c>
      <c r="B72" s="155"/>
      <c r="C72" s="155"/>
      <c r="D72" s="42" t="str">
        <f aca="true" t="shared" si="8" ref="D72:D82">IF($A$47&lt;VALUE(LEFT(A72,2))," ",DATE(YEAR(D71+30),MONTH(D71+30),DAY(D71)))</f>
        <v> </v>
      </c>
      <c r="E72" s="20" t="str">
        <f aca="true" t="shared" si="9" ref="E72:E82">IF($A$47&lt;VALUE(LEFT(A72,2))," ",IF($A$47=VALUE(LEFT(A72,2)),$G$43-($E$48*($A$47-1)),E71))</f>
        <v> </v>
      </c>
      <c r="F72" s="43" t="str">
        <f aca="true" t="shared" si="10" ref="F72:F82">IF($A$47&lt;VALUE(LEFT(A72,2))," ",IF($A$47=VALUE(LEFT(A72,2)),$G$44-($F$48*($A$47-1)),F71))</f>
        <v> </v>
      </c>
      <c r="G72" s="22" t="str">
        <f aca="true" t="shared" si="11" ref="G72:G82">IF($A$47&lt;VALUE(LEFT(A72,2))," ",SUM(E72:F72))</f>
        <v> </v>
      </c>
    </row>
    <row r="73" spans="1:7" ht="12.75" hidden="1">
      <c r="A73" s="155" t="s">
        <v>66</v>
      </c>
      <c r="B73" s="155"/>
      <c r="C73" s="155"/>
      <c r="D73" s="42" t="str">
        <f t="shared" si="8"/>
        <v> </v>
      </c>
      <c r="E73" s="20" t="str">
        <f t="shared" si="9"/>
        <v> </v>
      </c>
      <c r="F73" s="43" t="str">
        <f t="shared" si="10"/>
        <v> </v>
      </c>
      <c r="G73" s="22" t="str">
        <f t="shared" si="11"/>
        <v> </v>
      </c>
    </row>
    <row r="74" spans="1:7" ht="12.75" hidden="1">
      <c r="A74" s="155" t="s">
        <v>67</v>
      </c>
      <c r="B74" s="155"/>
      <c r="C74" s="155"/>
      <c r="D74" s="42" t="str">
        <f t="shared" si="8"/>
        <v> </v>
      </c>
      <c r="E74" s="20" t="str">
        <f t="shared" si="9"/>
        <v> </v>
      </c>
      <c r="F74" s="43" t="str">
        <f t="shared" si="10"/>
        <v> </v>
      </c>
      <c r="G74" s="22" t="str">
        <f t="shared" si="11"/>
        <v> </v>
      </c>
    </row>
    <row r="75" spans="1:7" ht="12.75" hidden="1">
      <c r="A75" s="155" t="s">
        <v>68</v>
      </c>
      <c r="B75" s="155"/>
      <c r="C75" s="155"/>
      <c r="D75" s="42" t="str">
        <f t="shared" si="8"/>
        <v> </v>
      </c>
      <c r="E75" s="20" t="str">
        <f t="shared" si="9"/>
        <v> </v>
      </c>
      <c r="F75" s="43" t="str">
        <f t="shared" si="10"/>
        <v> </v>
      </c>
      <c r="G75" s="22" t="str">
        <f t="shared" si="11"/>
        <v> </v>
      </c>
    </row>
    <row r="76" spans="1:7" ht="12.75" hidden="1">
      <c r="A76" s="155" t="s">
        <v>69</v>
      </c>
      <c r="B76" s="155"/>
      <c r="C76" s="155"/>
      <c r="D76" s="42" t="str">
        <f t="shared" si="8"/>
        <v> </v>
      </c>
      <c r="E76" s="20" t="str">
        <f t="shared" si="9"/>
        <v> </v>
      </c>
      <c r="F76" s="43" t="str">
        <f t="shared" si="10"/>
        <v> </v>
      </c>
      <c r="G76" s="22" t="str">
        <f t="shared" si="11"/>
        <v> </v>
      </c>
    </row>
    <row r="77" spans="1:7" ht="12.75" hidden="1">
      <c r="A77" s="155" t="s">
        <v>70</v>
      </c>
      <c r="B77" s="155"/>
      <c r="C77" s="155"/>
      <c r="D77" s="42" t="str">
        <f t="shared" si="8"/>
        <v> </v>
      </c>
      <c r="E77" s="20" t="str">
        <f t="shared" si="9"/>
        <v> </v>
      </c>
      <c r="F77" s="43" t="str">
        <f t="shared" si="10"/>
        <v> </v>
      </c>
      <c r="G77" s="22" t="str">
        <f t="shared" si="11"/>
        <v> </v>
      </c>
    </row>
    <row r="78" spans="1:7" ht="12.75" hidden="1">
      <c r="A78" s="155" t="s">
        <v>71</v>
      </c>
      <c r="B78" s="155"/>
      <c r="C78" s="155"/>
      <c r="D78" s="42" t="str">
        <f t="shared" si="8"/>
        <v> </v>
      </c>
      <c r="E78" s="20" t="str">
        <f t="shared" si="9"/>
        <v> </v>
      </c>
      <c r="F78" s="43" t="str">
        <f t="shared" si="10"/>
        <v> </v>
      </c>
      <c r="G78" s="22" t="str">
        <f t="shared" si="11"/>
        <v> </v>
      </c>
    </row>
    <row r="79" spans="1:7" ht="12.75" hidden="1">
      <c r="A79" s="155" t="s">
        <v>72</v>
      </c>
      <c r="B79" s="155"/>
      <c r="C79" s="155"/>
      <c r="D79" s="42" t="str">
        <f t="shared" si="8"/>
        <v> </v>
      </c>
      <c r="E79" s="20" t="str">
        <f t="shared" si="9"/>
        <v> </v>
      </c>
      <c r="F79" s="43" t="str">
        <f t="shared" si="10"/>
        <v> </v>
      </c>
      <c r="G79" s="22" t="str">
        <f t="shared" si="11"/>
        <v> </v>
      </c>
    </row>
    <row r="80" spans="1:7" ht="12.75" hidden="1">
      <c r="A80" s="155" t="s">
        <v>73</v>
      </c>
      <c r="B80" s="155"/>
      <c r="C80" s="155"/>
      <c r="D80" s="42" t="str">
        <f t="shared" si="8"/>
        <v> </v>
      </c>
      <c r="E80" s="20" t="str">
        <f t="shared" si="9"/>
        <v> </v>
      </c>
      <c r="F80" s="43" t="str">
        <f t="shared" si="10"/>
        <v> </v>
      </c>
      <c r="G80" s="22" t="str">
        <f t="shared" si="11"/>
        <v> </v>
      </c>
    </row>
    <row r="81" spans="1:7" ht="12.75" hidden="1">
      <c r="A81" s="155" t="s">
        <v>74</v>
      </c>
      <c r="B81" s="155"/>
      <c r="C81" s="155"/>
      <c r="D81" s="42" t="str">
        <f t="shared" si="8"/>
        <v> </v>
      </c>
      <c r="E81" s="20" t="str">
        <f t="shared" si="9"/>
        <v> </v>
      </c>
      <c r="F81" s="43" t="str">
        <f t="shared" si="10"/>
        <v> </v>
      </c>
      <c r="G81" s="22" t="str">
        <f t="shared" si="11"/>
        <v> </v>
      </c>
    </row>
    <row r="82" spans="1:7" ht="12.75" hidden="1">
      <c r="A82" s="155" t="s">
        <v>75</v>
      </c>
      <c r="B82" s="155"/>
      <c r="C82" s="155"/>
      <c r="D82" s="42" t="str">
        <f t="shared" si="8"/>
        <v> </v>
      </c>
      <c r="E82" s="20" t="str">
        <f t="shared" si="9"/>
        <v> </v>
      </c>
      <c r="F82" s="43" t="str">
        <f t="shared" si="10"/>
        <v> </v>
      </c>
      <c r="G82" s="22" t="str">
        <f t="shared" si="11"/>
        <v> </v>
      </c>
    </row>
    <row r="83" spans="1:7" ht="12.75" hidden="1">
      <c r="A83" s="155" t="s">
        <v>76</v>
      </c>
      <c r="B83" s="155"/>
      <c r="C83" s="155"/>
      <c r="D83" s="42" t="str">
        <f>IF($A$47&lt;VALUE(LEFT(A83,2))," ",DATE(YEAR(D82+30),MONTH(D82+30),DAY(D82)))</f>
        <v> </v>
      </c>
      <c r="E83" s="20" t="str">
        <f>IF($A$47&lt;VALUE(LEFT(A83,2))," ",IF($A$47=VALUE(LEFT(A83,2)),$G$43-($E$48*($A$47-1)),E82))</f>
        <v> </v>
      </c>
      <c r="F83" s="43" t="str">
        <f>IF($A$47&lt;VALUE(LEFT(A83,2))," ",IF($A$47=VALUE(LEFT(A83,2)),$G$44-($F$48*($A$47-1)),F82))</f>
        <v> </v>
      </c>
      <c r="G83" s="22" t="str">
        <f>IF($A$47&lt;VALUE(LEFT(A83,2))," ",SUM(E83:F83))</f>
        <v> </v>
      </c>
    </row>
    <row r="84" spans="2:7" ht="12.75">
      <c r="B84" s="34"/>
      <c r="E84" s="30"/>
      <c r="F84" s="28"/>
      <c r="G84" s="35"/>
    </row>
    <row r="85" ht="12.75">
      <c r="A85" s="26" t="s">
        <v>77</v>
      </c>
    </row>
    <row r="86" spans="2:6" ht="12.75">
      <c r="B86" s="1" t="s">
        <v>78</v>
      </c>
      <c r="F86" s="44">
        <f>D66</f>
        <v>44379</v>
      </c>
    </row>
    <row r="87" spans="2:9" ht="12.75">
      <c r="B87" s="1" t="s">
        <v>79</v>
      </c>
      <c r="F87" s="44">
        <f>DATE(YEAR(MAX(D48:D71)+30),MONTH(MAX(D48:D71)+30),DAY(F86))</f>
        <v>44563</v>
      </c>
      <c r="G87" s="45">
        <f>ROUND(((G24+G25)*((100-A33)/100))+(G29*(100-A33)/100),2)</f>
        <v>4466681.99</v>
      </c>
      <c r="I87" s="22"/>
    </row>
    <row r="88" ht="12.75">
      <c r="B88" s="1" t="s">
        <v>80</v>
      </c>
    </row>
    <row r="90" spans="1:4" ht="12.75">
      <c r="A90" s="32" t="s">
        <v>81</v>
      </c>
      <c r="B90" s="46"/>
      <c r="C90" s="46"/>
      <c r="D90" s="46"/>
    </row>
    <row r="91" spans="1:7" ht="12.75">
      <c r="A91" s="128" t="s">
        <v>119</v>
      </c>
      <c r="B91" s="128"/>
      <c r="C91" s="128"/>
      <c r="D91" s="128"/>
      <c r="E91" s="128"/>
      <c r="F91" s="128"/>
      <c r="G91" s="128"/>
    </row>
    <row r="92" spans="1:4" ht="12.75">
      <c r="A92" s="46" t="s">
        <v>82</v>
      </c>
      <c r="B92" s="46"/>
      <c r="C92" s="46"/>
      <c r="D92" s="46"/>
    </row>
    <row r="93" spans="1:4" ht="12.75">
      <c r="A93" s="46" t="s">
        <v>83</v>
      </c>
      <c r="B93" s="46"/>
      <c r="C93" s="46"/>
      <c r="D93" s="46"/>
    </row>
    <row r="94" spans="1:4" ht="12.75">
      <c r="A94" s="46" t="s">
        <v>84</v>
      </c>
      <c r="B94" s="46"/>
      <c r="C94" s="46"/>
      <c r="D94" s="46"/>
    </row>
    <row r="95" spans="1:4" ht="12.75">
      <c r="A95" s="47" t="s">
        <v>85</v>
      </c>
      <c r="B95" s="46"/>
      <c r="C95" s="46"/>
      <c r="D95" s="46"/>
    </row>
    <row r="96" spans="1:4" ht="12.75">
      <c r="A96" s="47" t="s">
        <v>86</v>
      </c>
      <c r="B96" s="46"/>
      <c r="C96" s="46"/>
      <c r="D96" s="46"/>
    </row>
    <row r="97" spans="1:4" ht="12.75">
      <c r="A97" s="47" t="s">
        <v>87</v>
      </c>
      <c r="B97" s="46"/>
      <c r="C97" s="46"/>
      <c r="D97" s="46"/>
    </row>
    <row r="98" spans="1:4" ht="12.75">
      <c r="A98" s="47" t="s">
        <v>88</v>
      </c>
      <c r="B98" s="46"/>
      <c r="C98" s="46"/>
      <c r="D98" s="46"/>
    </row>
    <row r="99" spans="1:4" ht="12.75">
      <c r="A99" s="47" t="s">
        <v>89</v>
      </c>
      <c r="B99" s="46"/>
      <c r="C99" s="46"/>
      <c r="D99" s="46"/>
    </row>
    <row r="100" spans="1:7" ht="12.75">
      <c r="A100" s="128" t="s">
        <v>118</v>
      </c>
      <c r="B100" s="128"/>
      <c r="C100" s="128"/>
      <c r="D100" s="128"/>
      <c r="E100" s="128"/>
      <c r="F100" s="128"/>
      <c r="G100" s="128"/>
    </row>
  </sheetData>
  <sheetProtection/>
  <mergeCells count="44">
    <mergeCell ref="A48:C48"/>
    <mergeCell ref="A66:C66"/>
    <mergeCell ref="A60:C60"/>
    <mergeCell ref="A61:C61"/>
    <mergeCell ref="A69:C69"/>
    <mergeCell ref="A70:C70"/>
    <mergeCell ref="B1:F1"/>
    <mergeCell ref="A100:G100"/>
    <mergeCell ref="A71:C71"/>
    <mergeCell ref="A64:C64"/>
    <mergeCell ref="A53:C53"/>
    <mergeCell ref="A54:C54"/>
    <mergeCell ref="A59:C59"/>
    <mergeCell ref="A56:C56"/>
    <mergeCell ref="A57:C57"/>
    <mergeCell ref="A55:C55"/>
    <mergeCell ref="A91:G91"/>
    <mergeCell ref="A68:C68"/>
    <mergeCell ref="A67:C67"/>
    <mergeCell ref="A62:C62"/>
    <mergeCell ref="A63:C63"/>
    <mergeCell ref="A65:C65"/>
    <mergeCell ref="A72:C72"/>
    <mergeCell ref="A73:C73"/>
    <mergeCell ref="A74:C74"/>
    <mergeCell ref="A75:C75"/>
    <mergeCell ref="B47:C47"/>
    <mergeCell ref="B2:F2"/>
    <mergeCell ref="A3:G3"/>
    <mergeCell ref="F6:G6"/>
    <mergeCell ref="F7:G7"/>
    <mergeCell ref="A58:C58"/>
    <mergeCell ref="A50:C50"/>
    <mergeCell ref="A51:C51"/>
    <mergeCell ref="A49:C49"/>
    <mergeCell ref="A52:C52"/>
    <mergeCell ref="A82:C82"/>
    <mergeCell ref="A83:C83"/>
    <mergeCell ref="A76:C76"/>
    <mergeCell ref="A77:C77"/>
    <mergeCell ref="A78:C78"/>
    <mergeCell ref="A79:C79"/>
    <mergeCell ref="A80:C80"/>
    <mergeCell ref="A81:C81"/>
  </mergeCells>
  <conditionalFormatting sqref="B11 B25">
    <cfRule type="expression" priority="1" dxfId="41" stopIfTrue="1">
      <formula>G11=0</formula>
    </cfRule>
  </conditionalFormatting>
  <conditionalFormatting sqref="A49:C56">
    <cfRule type="expression" priority="2" dxfId="41" stopIfTrue="1">
      <formula>VALUE(NoDPSchedule)&lt;VALUE(LEFT(A49,1))</formula>
    </cfRule>
  </conditionalFormatting>
  <conditionalFormatting sqref="A57:C83">
    <cfRule type="expression" priority="3" dxfId="41" stopIfTrue="1">
      <formula>VALUE(NoDPSchedule)&lt;VALUE(LEFT(A57,2))</formula>
    </cfRule>
  </conditionalFormatting>
  <conditionalFormatting sqref="G11 G25">
    <cfRule type="expression" priority="4" dxfId="41" stopIfTrue="1">
      <formula>G11=0</formula>
    </cfRule>
  </conditionalFormatting>
  <conditionalFormatting sqref="D4">
    <cfRule type="expression" priority="5" dxfId="42" stopIfTrue="1">
      <formula>G5&lt;=TODAY()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00"/>
  <sheetViews>
    <sheetView zoomScalePageLayoutView="0" workbookViewId="0" topLeftCell="A1">
      <selection activeCell="H11" sqref="H11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21.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7" ht="14.25" customHeight="1" thickTop="1">
      <c r="A1" s="2"/>
      <c r="B1" s="132" t="s">
        <v>0</v>
      </c>
      <c r="C1" s="132"/>
      <c r="D1" s="132"/>
      <c r="E1" s="132"/>
      <c r="F1" s="132"/>
      <c r="G1" s="3"/>
    </row>
    <row r="2" spans="1:7" ht="14.25" customHeight="1">
      <c r="A2" s="4"/>
      <c r="B2" s="133" t="s">
        <v>1</v>
      </c>
      <c r="C2" s="133"/>
      <c r="D2" s="133"/>
      <c r="E2" s="133"/>
      <c r="F2" s="133"/>
      <c r="G2" s="5"/>
    </row>
    <row r="3" spans="1:7" ht="30" customHeight="1">
      <c r="A3" s="134" t="s">
        <v>2</v>
      </c>
      <c r="B3" s="135"/>
      <c r="C3" s="135"/>
      <c r="D3" s="135"/>
      <c r="E3" s="135"/>
      <c r="F3" s="135"/>
      <c r="G3" s="136"/>
    </row>
    <row r="4" spans="1:7" ht="15" customHeight="1" thickBot="1">
      <c r="A4" s="6">
        <f>IF(A47&lt;=12,12,A47)</f>
        <v>24</v>
      </c>
      <c r="B4" s="7"/>
      <c r="C4" s="7"/>
      <c r="D4" s="8" t="str">
        <f>IF(A47&gt;G5,"TERM IS SUBJECT FOR APPROVAL","SAMPLE COMPUTATION ONLY")</f>
        <v>SAMPLE COMPUTATION ONLY</v>
      </c>
      <c r="E4" s="7"/>
      <c r="F4" s="7"/>
      <c r="G4" s="9"/>
    </row>
    <row r="5" ht="13.5" customHeight="1" thickTop="1">
      <c r="G5" s="10">
        <v>36</v>
      </c>
    </row>
    <row r="6" spans="1:7" ht="12.75">
      <c r="A6" s="11" t="s">
        <v>3</v>
      </c>
      <c r="B6" s="11" t="s">
        <v>4</v>
      </c>
      <c r="C6" s="11" t="s">
        <v>5</v>
      </c>
      <c r="D6" s="11" t="s">
        <v>6</v>
      </c>
      <c r="E6" s="11"/>
      <c r="F6" s="137" t="s">
        <v>7</v>
      </c>
      <c r="G6" s="137"/>
    </row>
    <row r="7" spans="1:7" ht="12.75">
      <c r="A7" s="12" t="s">
        <v>8</v>
      </c>
      <c r="B7" s="12">
        <v>503</v>
      </c>
      <c r="C7" s="12" t="s">
        <v>9</v>
      </c>
      <c r="D7" s="12">
        <v>37.7</v>
      </c>
      <c r="E7" s="12"/>
      <c r="F7" s="138" t="s">
        <v>120</v>
      </c>
      <c r="G7" s="138"/>
    </row>
    <row r="10" spans="1:7" ht="12.75">
      <c r="A10" s="13" t="s">
        <v>11</v>
      </c>
      <c r="B10" s="13"/>
      <c r="C10" s="14"/>
      <c r="D10" s="15"/>
      <c r="E10" s="15"/>
      <c r="F10" s="16" t="s">
        <v>12</v>
      </c>
      <c r="G10" s="17">
        <v>7291000</v>
      </c>
    </row>
    <row r="11" spans="1:7" ht="12.75">
      <c r="A11" s="1" t="s">
        <v>13</v>
      </c>
      <c r="B11" s="1" t="s">
        <v>14</v>
      </c>
      <c r="C11" s="18"/>
      <c r="F11" s="19"/>
      <c r="G11" s="20">
        <f>ROUND(IF(ISERROR(FIND("PARKING",Model,1)),IF(SellingPrice&gt;3199200,(G10-(G10/1.12)),0),(G10-(G10/1.12))),2)</f>
        <v>781178.57</v>
      </c>
    </row>
    <row r="12" spans="1:10" ht="12.75">
      <c r="A12" s="21">
        <v>10</v>
      </c>
      <c r="B12" s="1" t="str">
        <f>CONCATENATE(A12,"% Discount on ",A39,"% SFDP")</f>
        <v>10% Discount on 10% SFDP</v>
      </c>
      <c r="F12" s="19"/>
      <c r="G12" s="22">
        <f>((G10-G11)-Discount2Value)*(PercentageDiscount/100)*(SpotDownpayment/100)</f>
        <v>65098.21430000001</v>
      </c>
      <c r="I12" s="22"/>
      <c r="J12" s="22"/>
    </row>
    <row r="13" spans="2:10" ht="12.75" hidden="1">
      <c r="B13" s="1" t="s">
        <v>15</v>
      </c>
      <c r="G13" s="22">
        <v>0</v>
      </c>
      <c r="I13" s="22"/>
      <c r="J13" s="22"/>
    </row>
    <row r="14" spans="2:10" ht="12.75" hidden="1">
      <c r="B14" s="1" t="s">
        <v>16</v>
      </c>
      <c r="G14" s="22">
        <v>0</v>
      </c>
      <c r="I14" s="22"/>
      <c r="J14" s="22"/>
    </row>
    <row r="15" spans="2:9" ht="12.75" hidden="1">
      <c r="B15" s="1" t="s">
        <v>17</v>
      </c>
      <c r="G15" s="22">
        <v>0</v>
      </c>
      <c r="I15" s="22"/>
    </row>
    <row r="16" spans="2:9" ht="12.75" hidden="1">
      <c r="B16" s="1" t="s">
        <v>18</v>
      </c>
      <c r="G16" s="22">
        <v>0</v>
      </c>
      <c r="I16" s="22"/>
    </row>
    <row r="17" spans="2:9" ht="12.75" hidden="1">
      <c r="B17" s="1" t="s">
        <v>19</v>
      </c>
      <c r="G17" s="22">
        <v>0</v>
      </c>
      <c r="I17" s="22"/>
    </row>
    <row r="18" spans="2:10" ht="12.75" hidden="1">
      <c r="B18" s="1" t="s">
        <v>20</v>
      </c>
      <c r="G18" s="22">
        <v>0</v>
      </c>
      <c r="H18" s="22"/>
      <c r="I18" s="22"/>
      <c r="J18" s="22"/>
    </row>
    <row r="19" spans="2:10" ht="12.75" hidden="1">
      <c r="B19" s="1" t="s">
        <v>21</v>
      </c>
      <c r="G19" s="22">
        <v>0</v>
      </c>
      <c r="J19" s="22"/>
    </row>
    <row r="20" spans="2:10" ht="12.75" hidden="1">
      <c r="B20" s="1" t="s">
        <v>22</v>
      </c>
      <c r="G20" s="22">
        <v>0</v>
      </c>
      <c r="J20" s="22"/>
    </row>
    <row r="21" spans="2:10" ht="12.75" hidden="1">
      <c r="B21" s="1" t="s">
        <v>23</v>
      </c>
      <c r="G21" s="22">
        <v>0</v>
      </c>
      <c r="J21" s="22"/>
    </row>
    <row r="22" spans="2:10" ht="12.75" hidden="1">
      <c r="B22" s="1" t="s">
        <v>24</v>
      </c>
      <c r="G22" s="22">
        <v>0</v>
      </c>
      <c r="J22" s="22"/>
    </row>
    <row r="23" spans="6:10" ht="13.5" customHeight="1" thickBot="1">
      <c r="F23" s="19"/>
      <c r="G23" s="23"/>
      <c r="J23" s="22"/>
    </row>
    <row r="24" spans="1:7" ht="13.5" customHeight="1" thickTop="1">
      <c r="A24" s="13" t="s">
        <v>25</v>
      </c>
      <c r="B24" s="24"/>
      <c r="C24" s="15"/>
      <c r="D24" s="15"/>
      <c r="E24" s="15"/>
      <c r="F24" s="16" t="s">
        <v>12</v>
      </c>
      <c r="G24" s="25">
        <f>(SellingPrice-G11)-SUM(G12:G22)</f>
        <v>6444723.2157</v>
      </c>
    </row>
    <row r="25" spans="1:9" ht="12.75">
      <c r="A25" s="1" t="s">
        <v>26</v>
      </c>
      <c r="B25" s="1" t="s">
        <v>14</v>
      </c>
      <c r="G25" s="22">
        <f>ROUND(IF(ISERROR(FIND("PARKING",Model,1)),IF(G24&gt;3199200,G24*12%,0),G24*12%),2)</f>
        <v>773366.79</v>
      </c>
      <c r="I25" s="22"/>
    </row>
    <row r="26" spans="1:7" ht="12.75" hidden="1">
      <c r="A26" s="21">
        <v>7</v>
      </c>
      <c r="B26" s="1" t="s">
        <v>27</v>
      </c>
      <c r="G26" s="22">
        <f>ROUND(G24*(A26/100),2)</f>
        <v>451130.63</v>
      </c>
    </row>
    <row r="27" spans="1:7" ht="12.75" hidden="1">
      <c r="A27" s="21"/>
      <c r="B27" s="1" t="s">
        <v>28</v>
      </c>
      <c r="F27" s="21">
        <f>IF(G27&gt;50000,50000,G27)</f>
        <v>0</v>
      </c>
      <c r="G27" s="22">
        <v>0</v>
      </c>
    </row>
    <row r="28" spans="1:7" ht="12.75" hidden="1">
      <c r="A28" s="21"/>
      <c r="B28" s="1" t="s">
        <v>29</v>
      </c>
      <c r="G28" s="22">
        <v>0</v>
      </c>
    </row>
    <row r="29" spans="1:7" ht="13.5" customHeight="1" thickBot="1">
      <c r="A29" s="21"/>
      <c r="B29" s="1" t="s">
        <v>27</v>
      </c>
      <c r="G29" s="22">
        <f>ROUND(SUM(G26,G28,F27),2)</f>
        <v>451130.63</v>
      </c>
    </row>
    <row r="30" spans="1:7" ht="13.5" customHeight="1" thickTop="1">
      <c r="A30" s="13" t="s">
        <v>30</v>
      </c>
      <c r="B30" s="15"/>
      <c r="C30" s="15"/>
      <c r="D30" s="15"/>
      <c r="E30" s="15"/>
      <c r="F30" s="16" t="s">
        <v>12</v>
      </c>
      <c r="G30" s="25">
        <f>G24+SUM(G25,G29)</f>
        <v>7669220.6356999995</v>
      </c>
    </row>
    <row r="32" ht="12.75">
      <c r="A32" s="26" t="s">
        <v>31</v>
      </c>
    </row>
    <row r="33" spans="1:7" ht="12.75">
      <c r="A33" s="27">
        <v>20</v>
      </c>
      <c r="B33" s="1" t="str">
        <f>CONCATENATE("Downpayment ("&amp;A33&amp;"% of Selling Price)")</f>
        <v>Downpayment (20% of Selling Price)</v>
      </c>
      <c r="G33" s="22">
        <f>ROUND((G24+G25)*(A33/100),2)</f>
        <v>1443618</v>
      </c>
    </row>
    <row r="34" spans="1:7" ht="13.5" customHeight="1" thickBot="1">
      <c r="A34" s="26"/>
      <c r="B34" s="1" t="s">
        <v>32</v>
      </c>
      <c r="G34" s="22">
        <f>ROUND(G29*(A33/100),2)</f>
        <v>90226.13</v>
      </c>
    </row>
    <row r="35" spans="1:7" ht="13.5" customHeight="1" thickTop="1">
      <c r="A35" s="13" t="s">
        <v>33</v>
      </c>
      <c r="B35" s="15"/>
      <c r="C35" s="15"/>
      <c r="D35" s="15"/>
      <c r="E35" s="15"/>
      <c r="F35" s="16" t="s">
        <v>12</v>
      </c>
      <c r="G35" s="25">
        <f>SUM(G33:G34)</f>
        <v>1533844.13</v>
      </c>
    </row>
    <row r="36" spans="1:7" ht="13.5" customHeight="1" thickBot="1">
      <c r="A36" s="1" t="s">
        <v>13</v>
      </c>
      <c r="B36" s="1" t="s">
        <v>34</v>
      </c>
      <c r="F36" s="28">
        <f>DATE(2019,2,22)</f>
        <v>43518</v>
      </c>
      <c r="G36" s="22">
        <v>20000</v>
      </c>
    </row>
    <row r="37" spans="1:7" ht="13.5" customHeight="1" thickTop="1">
      <c r="A37" s="13" t="s">
        <v>35</v>
      </c>
      <c r="B37" s="15"/>
      <c r="C37" s="15"/>
      <c r="D37" s="15"/>
      <c r="E37" s="29"/>
      <c r="F37" s="16" t="s">
        <v>12</v>
      </c>
      <c r="G37" s="25">
        <f>G35-G36</f>
        <v>1513844.13</v>
      </c>
    </row>
    <row r="39" spans="1:10" ht="12.75">
      <c r="A39" s="21">
        <v>10</v>
      </c>
      <c r="B39" s="1" t="str">
        <f>CONCATENATE("Spot Downpayment ("&amp;A39&amp;"% of Selling Price)")</f>
        <v>Spot Downpayment (10% of Selling Price)</v>
      </c>
      <c r="E39" s="30"/>
      <c r="F39" s="28"/>
      <c r="G39" s="22">
        <f>ROUND((SUM(G24:G25)*(A39/100))-G36,2)</f>
        <v>701809</v>
      </c>
      <c r="H39" s="22"/>
      <c r="I39" s="22"/>
      <c r="J39" s="31"/>
    </row>
    <row r="40" spans="2:10" ht="13.5" customHeight="1" thickBot="1">
      <c r="B40" s="1" t="s">
        <v>27</v>
      </c>
      <c r="E40" s="30"/>
      <c r="F40" s="28"/>
      <c r="G40" s="22">
        <f>ROUND(G29*(A39/100),2)</f>
        <v>45113.06</v>
      </c>
      <c r="J40" s="22"/>
    </row>
    <row r="41" spans="2:7" ht="13.5" customHeight="1" thickTop="1">
      <c r="B41" s="32" t="s">
        <v>36</v>
      </c>
      <c r="E41" s="30"/>
      <c r="F41" s="28">
        <f>ReservationDate+19</f>
        <v>43537</v>
      </c>
      <c r="G41" s="33">
        <f>SUM(G39:G40)</f>
        <v>746922.06</v>
      </c>
    </row>
    <row r="42" spans="2:7" ht="12.75">
      <c r="B42" s="34"/>
      <c r="E42" s="30"/>
      <c r="F42" s="28"/>
      <c r="G42" s="35"/>
    </row>
    <row r="43" spans="1:7" ht="12.75">
      <c r="A43" s="21">
        <f>A33-A39</f>
        <v>10</v>
      </c>
      <c r="B43" s="36" t="str">
        <f>CONCATENATE("Streched Downpayment ("&amp;A43&amp;"% of Selling Price)")</f>
        <v>Streched Downpayment (10% of Selling Price)</v>
      </c>
      <c r="E43" s="30"/>
      <c r="F43" s="28"/>
      <c r="G43" s="22">
        <f>G33-G39-ReservationFee</f>
        <v>721809</v>
      </c>
    </row>
    <row r="44" spans="2:7" ht="13.5" customHeight="1" thickBot="1">
      <c r="B44" s="36" t="s">
        <v>27</v>
      </c>
      <c r="E44" s="30"/>
      <c r="F44" s="28"/>
      <c r="G44" s="22">
        <f>SUM(G34:G34)-G40</f>
        <v>45113.07000000001</v>
      </c>
    </row>
    <row r="45" spans="2:7" ht="13.5" customHeight="1" thickTop="1">
      <c r="B45" s="32" t="str">
        <f>CONCATENATE("Total Streched DP and Other Charges payable in "&amp;A47&amp;" months")</f>
        <v>Total Streched DP and Other Charges payable in 24 months</v>
      </c>
      <c r="E45" s="30"/>
      <c r="F45" s="28"/>
      <c r="G45" s="33">
        <f>SUM(G43:G44)</f>
        <v>766922.0700000001</v>
      </c>
    </row>
    <row r="46" spans="2:7" ht="12.75">
      <c r="B46" s="36"/>
      <c r="E46" s="30"/>
      <c r="F46" s="28"/>
      <c r="G46" s="35"/>
    </row>
    <row r="47" spans="1:7" ht="25.5" customHeight="1">
      <c r="A47" s="37">
        <v>24</v>
      </c>
      <c r="B47" s="156" t="s">
        <v>37</v>
      </c>
      <c r="C47" s="156"/>
      <c r="D47" s="38" t="s">
        <v>38</v>
      </c>
      <c r="E47" s="39" t="s">
        <v>39</v>
      </c>
      <c r="F47" s="40" t="s">
        <v>27</v>
      </c>
      <c r="G47" s="41" t="s">
        <v>40</v>
      </c>
    </row>
    <row r="48" spans="1:7" ht="12.75">
      <c r="A48" s="155" t="s">
        <v>41</v>
      </c>
      <c r="B48" s="155"/>
      <c r="C48" s="155"/>
      <c r="D48" s="42">
        <f>IF(AND(DAY(F41)&gt;2,DAY(F41)&lt;19),DATE(YEAR(F41+30),MONTH(F41+30),DAY(17)),DATE(YEAR(F41+30),IF(DAY(F41)&gt;18,MONTH(F41+30)+1,MONTH(F41+30)),DAY(2)))</f>
        <v>43572</v>
      </c>
      <c r="E48" s="20">
        <f>ROUND(G43/A47,2)</f>
        <v>30075.38</v>
      </c>
      <c r="F48" s="43">
        <f>ROUND(G44/A47,2)</f>
        <v>1879.71</v>
      </c>
      <c r="G48" s="22">
        <f>SUM(E48:F48)</f>
        <v>31955.09</v>
      </c>
    </row>
    <row r="49" spans="1:7" ht="12.75">
      <c r="A49" s="155" t="s">
        <v>42</v>
      </c>
      <c r="B49" s="155"/>
      <c r="C49" s="155"/>
      <c r="D49" s="42">
        <f>IF($A$47&lt;VALUE(LEFT(A49,1))," ",DATE(YEAR(D48+30),MONTH(D48+30),DAY(D48)))</f>
        <v>43602</v>
      </c>
      <c r="E49" s="20">
        <f>IF($A$47&lt;VALUE(LEFT(A49,1))," ",IF($A$47=VALUE(LEFT(A49,1)),$G$43-($E$48*($A$47-1)),E48))</f>
        <v>30075.38</v>
      </c>
      <c r="F49" s="43">
        <f>IF($A$47&lt;VALUE(LEFT(A49,1))," ",IF($A$47=VALUE(LEFT(A49,1)),$G$44-($F$48*($A$47-1)),F48))</f>
        <v>1879.71</v>
      </c>
      <c r="G49" s="22">
        <f>IF($A$47&lt;VALUE(LEFT(A49,1))," ",SUM(E49:F49))</f>
        <v>31955.09</v>
      </c>
    </row>
    <row r="50" spans="1:7" ht="12.75">
      <c r="A50" s="155" t="s">
        <v>43</v>
      </c>
      <c r="B50" s="155"/>
      <c r="C50" s="155"/>
      <c r="D50" s="42">
        <f>IF($A$47&lt;VALUE(LEFT(A50,1))," ",DATE(YEAR(D49+30),MONTH(D49+30),DAY(D49)))</f>
        <v>43633</v>
      </c>
      <c r="E50" s="20">
        <f aca="true" t="shared" si="0" ref="E50:E56">IF($A$47&lt;VALUE(LEFT(A50,1))," ",IF($A$47=VALUE(LEFT(A50,1)),$G$43-($E$48*($A$47-1)),E49))</f>
        <v>30075.38</v>
      </c>
      <c r="F50" s="43">
        <f aca="true" t="shared" si="1" ref="F50:F56">IF($A$47&lt;VALUE(LEFT(A50,1))," ",IF($A$47=VALUE(LEFT(A50,1)),$G$44-($F$48*($A$47-1)),F49))</f>
        <v>1879.71</v>
      </c>
      <c r="G50" s="22">
        <f aca="true" t="shared" si="2" ref="G50:G56">IF($A$47&lt;VALUE(LEFT(A50,1))," ",SUM(E50:F50))</f>
        <v>31955.09</v>
      </c>
    </row>
    <row r="51" spans="1:7" ht="12.75">
      <c r="A51" s="155" t="s">
        <v>44</v>
      </c>
      <c r="B51" s="155"/>
      <c r="C51" s="155"/>
      <c r="D51" s="42">
        <f aca="true" t="shared" si="3" ref="D51:D56">IF($A$47&lt;VALUE(LEFT(A51,1))," ",DATE(YEAR(D50+30),MONTH(D50+30),DAY(D50)))</f>
        <v>43663</v>
      </c>
      <c r="E51" s="20">
        <f t="shared" si="0"/>
        <v>30075.38</v>
      </c>
      <c r="F51" s="43">
        <f t="shared" si="1"/>
        <v>1879.71</v>
      </c>
      <c r="G51" s="22">
        <f t="shared" si="2"/>
        <v>31955.09</v>
      </c>
    </row>
    <row r="52" spans="1:7" ht="12.75">
      <c r="A52" s="155" t="s">
        <v>45</v>
      </c>
      <c r="B52" s="155"/>
      <c r="C52" s="155"/>
      <c r="D52" s="42">
        <f t="shared" si="3"/>
        <v>43694</v>
      </c>
      <c r="E52" s="20">
        <f t="shared" si="0"/>
        <v>30075.38</v>
      </c>
      <c r="F52" s="43">
        <f t="shared" si="1"/>
        <v>1879.71</v>
      </c>
      <c r="G52" s="22">
        <f t="shared" si="2"/>
        <v>31955.09</v>
      </c>
    </row>
    <row r="53" spans="1:7" ht="12.75">
      <c r="A53" s="155" t="s">
        <v>46</v>
      </c>
      <c r="B53" s="155"/>
      <c r="C53" s="155"/>
      <c r="D53" s="42">
        <f t="shared" si="3"/>
        <v>43725</v>
      </c>
      <c r="E53" s="20">
        <f t="shared" si="0"/>
        <v>30075.38</v>
      </c>
      <c r="F53" s="43">
        <f t="shared" si="1"/>
        <v>1879.71</v>
      </c>
      <c r="G53" s="22">
        <f t="shared" si="2"/>
        <v>31955.09</v>
      </c>
    </row>
    <row r="54" spans="1:7" ht="12.75">
      <c r="A54" s="155" t="s">
        <v>47</v>
      </c>
      <c r="B54" s="155"/>
      <c r="C54" s="155"/>
      <c r="D54" s="42">
        <f t="shared" si="3"/>
        <v>43755</v>
      </c>
      <c r="E54" s="20">
        <f t="shared" si="0"/>
        <v>30075.38</v>
      </c>
      <c r="F54" s="43">
        <f t="shared" si="1"/>
        <v>1879.71</v>
      </c>
      <c r="G54" s="22">
        <f t="shared" si="2"/>
        <v>31955.09</v>
      </c>
    </row>
    <row r="55" spans="1:7" ht="12.75">
      <c r="A55" s="155" t="s">
        <v>48</v>
      </c>
      <c r="B55" s="155"/>
      <c r="C55" s="155"/>
      <c r="D55" s="42">
        <f t="shared" si="3"/>
        <v>43786</v>
      </c>
      <c r="E55" s="20">
        <f t="shared" si="0"/>
        <v>30075.38</v>
      </c>
      <c r="F55" s="43">
        <f t="shared" si="1"/>
        <v>1879.71</v>
      </c>
      <c r="G55" s="22">
        <f t="shared" si="2"/>
        <v>31955.09</v>
      </c>
    </row>
    <row r="56" spans="1:7" ht="12.75">
      <c r="A56" s="155" t="s">
        <v>49</v>
      </c>
      <c r="B56" s="155"/>
      <c r="C56" s="155"/>
      <c r="D56" s="42">
        <f t="shared" si="3"/>
        <v>43816</v>
      </c>
      <c r="E56" s="20">
        <f t="shared" si="0"/>
        <v>30075.38</v>
      </c>
      <c r="F56" s="43">
        <f t="shared" si="1"/>
        <v>1879.71</v>
      </c>
      <c r="G56" s="22">
        <f t="shared" si="2"/>
        <v>31955.09</v>
      </c>
    </row>
    <row r="57" spans="1:7" ht="12.75">
      <c r="A57" s="155" t="s">
        <v>50</v>
      </c>
      <c r="B57" s="155"/>
      <c r="C57" s="155"/>
      <c r="D57" s="42">
        <f>IF($A$47&lt;VALUE(LEFT(A57,2))," ",DATE(YEAR(D56+30),MONTH(D56+30),DAY(D56)))</f>
        <v>43847</v>
      </c>
      <c r="E57" s="20">
        <f>IF($A$47&lt;VALUE(LEFT(A57,2))," ",IF($A$47=VALUE(LEFT(A57,2)),$G$43-($E$48*($A$47-1)),E56))</f>
        <v>30075.38</v>
      </c>
      <c r="F57" s="43">
        <f>IF($A$47&lt;VALUE(LEFT(A57,2))," ",IF($A$47=VALUE(LEFT(A57,2)),$G$44-($F$48*($A$47-1)),F56))</f>
        <v>1879.71</v>
      </c>
      <c r="G57" s="22">
        <f>IF($A$47&lt;VALUE(LEFT(A57,2))," ",SUM(E57:F57))</f>
        <v>31955.09</v>
      </c>
    </row>
    <row r="58" spans="1:7" ht="12.75">
      <c r="A58" s="155" t="s">
        <v>51</v>
      </c>
      <c r="B58" s="155"/>
      <c r="C58" s="155"/>
      <c r="D58" s="42">
        <f aca="true" t="shared" si="4" ref="D58:D82">IF($A$47&lt;VALUE(LEFT(A58,2))," ",DATE(YEAR(D57+30),MONTH(D57+30),DAY(D57)))</f>
        <v>43878</v>
      </c>
      <c r="E58" s="20">
        <f aca="true" t="shared" si="5" ref="E58:E82">IF($A$47&lt;VALUE(LEFT(A58,2))," ",IF($A$47=VALUE(LEFT(A58,2)),$G$43-($E$48*($A$47-1)),E57))</f>
        <v>30075.38</v>
      </c>
      <c r="F58" s="43">
        <f aca="true" t="shared" si="6" ref="F58:F82">IF($A$47&lt;VALUE(LEFT(A58,2))," ",IF($A$47=VALUE(LEFT(A58,2)),$G$44-($F$48*($A$47-1)),F57))</f>
        <v>1879.71</v>
      </c>
      <c r="G58" s="22">
        <f aca="true" t="shared" si="7" ref="G58:G82">IF($A$47&lt;VALUE(LEFT(A58,2))," ",SUM(E58:F58))</f>
        <v>31955.09</v>
      </c>
    </row>
    <row r="59" spans="1:7" ht="12.75">
      <c r="A59" s="155" t="s">
        <v>52</v>
      </c>
      <c r="B59" s="155"/>
      <c r="C59" s="155"/>
      <c r="D59" s="42">
        <f t="shared" si="4"/>
        <v>43907</v>
      </c>
      <c r="E59" s="20">
        <f t="shared" si="5"/>
        <v>30075.38</v>
      </c>
      <c r="F59" s="43">
        <f t="shared" si="6"/>
        <v>1879.71</v>
      </c>
      <c r="G59" s="22">
        <f t="shared" si="7"/>
        <v>31955.09</v>
      </c>
    </row>
    <row r="60" spans="1:7" ht="12.75">
      <c r="A60" s="155" t="s">
        <v>53</v>
      </c>
      <c r="B60" s="155"/>
      <c r="C60" s="155"/>
      <c r="D60" s="42">
        <f t="shared" si="4"/>
        <v>43938</v>
      </c>
      <c r="E60" s="20">
        <f t="shared" si="5"/>
        <v>30075.38</v>
      </c>
      <c r="F60" s="43">
        <f t="shared" si="6"/>
        <v>1879.71</v>
      </c>
      <c r="G60" s="22">
        <f t="shared" si="7"/>
        <v>31955.09</v>
      </c>
    </row>
    <row r="61" spans="1:7" ht="12.75">
      <c r="A61" s="155" t="s">
        <v>54</v>
      </c>
      <c r="B61" s="155"/>
      <c r="C61" s="155"/>
      <c r="D61" s="42">
        <f t="shared" si="4"/>
        <v>43968</v>
      </c>
      <c r="E61" s="20">
        <f t="shared" si="5"/>
        <v>30075.38</v>
      </c>
      <c r="F61" s="43">
        <f t="shared" si="6"/>
        <v>1879.71</v>
      </c>
      <c r="G61" s="22">
        <f t="shared" si="7"/>
        <v>31955.09</v>
      </c>
    </row>
    <row r="62" spans="1:7" ht="12.75">
      <c r="A62" s="155" t="s">
        <v>55</v>
      </c>
      <c r="B62" s="155"/>
      <c r="C62" s="155"/>
      <c r="D62" s="42">
        <f t="shared" si="4"/>
        <v>43999</v>
      </c>
      <c r="E62" s="20">
        <f t="shared" si="5"/>
        <v>30075.38</v>
      </c>
      <c r="F62" s="43">
        <f t="shared" si="6"/>
        <v>1879.71</v>
      </c>
      <c r="G62" s="22">
        <f t="shared" si="7"/>
        <v>31955.09</v>
      </c>
    </row>
    <row r="63" spans="1:7" ht="12.75">
      <c r="A63" s="155" t="s">
        <v>56</v>
      </c>
      <c r="B63" s="155"/>
      <c r="C63" s="155"/>
      <c r="D63" s="42">
        <f t="shared" si="4"/>
        <v>44029</v>
      </c>
      <c r="E63" s="20">
        <f t="shared" si="5"/>
        <v>30075.38</v>
      </c>
      <c r="F63" s="43">
        <f t="shared" si="6"/>
        <v>1879.71</v>
      </c>
      <c r="G63" s="22">
        <f t="shared" si="7"/>
        <v>31955.09</v>
      </c>
    </row>
    <row r="64" spans="1:7" ht="12.75">
      <c r="A64" s="155" t="s">
        <v>57</v>
      </c>
      <c r="B64" s="155"/>
      <c r="C64" s="155"/>
      <c r="D64" s="42">
        <f t="shared" si="4"/>
        <v>44060</v>
      </c>
      <c r="E64" s="20">
        <f t="shared" si="5"/>
        <v>30075.38</v>
      </c>
      <c r="F64" s="43">
        <f t="shared" si="6"/>
        <v>1879.71</v>
      </c>
      <c r="G64" s="22">
        <f t="shared" si="7"/>
        <v>31955.09</v>
      </c>
    </row>
    <row r="65" spans="1:7" ht="12.75">
      <c r="A65" s="155" t="s">
        <v>58</v>
      </c>
      <c r="B65" s="155"/>
      <c r="C65" s="155"/>
      <c r="D65" s="42">
        <f t="shared" si="4"/>
        <v>44091</v>
      </c>
      <c r="E65" s="20">
        <f t="shared" si="5"/>
        <v>30075.38</v>
      </c>
      <c r="F65" s="43">
        <f t="shared" si="6"/>
        <v>1879.71</v>
      </c>
      <c r="G65" s="22">
        <f t="shared" si="7"/>
        <v>31955.09</v>
      </c>
    </row>
    <row r="66" spans="1:7" ht="12.75">
      <c r="A66" s="155" t="s">
        <v>59</v>
      </c>
      <c r="B66" s="155"/>
      <c r="C66" s="155"/>
      <c r="D66" s="42">
        <f t="shared" si="4"/>
        <v>44121</v>
      </c>
      <c r="E66" s="20">
        <f t="shared" si="5"/>
        <v>30075.38</v>
      </c>
      <c r="F66" s="43">
        <f t="shared" si="6"/>
        <v>1879.71</v>
      </c>
      <c r="G66" s="22">
        <f t="shared" si="7"/>
        <v>31955.09</v>
      </c>
    </row>
    <row r="67" spans="1:7" ht="12.75">
      <c r="A67" s="155" t="s">
        <v>60</v>
      </c>
      <c r="B67" s="155"/>
      <c r="C67" s="155"/>
      <c r="D67" s="42">
        <f t="shared" si="4"/>
        <v>44152</v>
      </c>
      <c r="E67" s="20">
        <f t="shared" si="5"/>
        <v>30075.38</v>
      </c>
      <c r="F67" s="43">
        <f t="shared" si="6"/>
        <v>1879.71</v>
      </c>
      <c r="G67" s="22">
        <f t="shared" si="7"/>
        <v>31955.09</v>
      </c>
    </row>
    <row r="68" spans="1:7" ht="12.75">
      <c r="A68" s="155" t="s">
        <v>61</v>
      </c>
      <c r="B68" s="155"/>
      <c r="C68" s="155"/>
      <c r="D68" s="42">
        <f t="shared" si="4"/>
        <v>44182</v>
      </c>
      <c r="E68" s="20">
        <f t="shared" si="5"/>
        <v>30075.38</v>
      </c>
      <c r="F68" s="43">
        <f t="shared" si="6"/>
        <v>1879.71</v>
      </c>
      <c r="G68" s="22">
        <f t="shared" si="7"/>
        <v>31955.09</v>
      </c>
    </row>
    <row r="69" spans="1:7" ht="12.75">
      <c r="A69" s="155" t="s">
        <v>62</v>
      </c>
      <c r="B69" s="155"/>
      <c r="C69" s="155"/>
      <c r="D69" s="42">
        <f t="shared" si="4"/>
        <v>44213</v>
      </c>
      <c r="E69" s="20">
        <f t="shared" si="5"/>
        <v>30075.38</v>
      </c>
      <c r="F69" s="43">
        <f t="shared" si="6"/>
        <v>1879.71</v>
      </c>
      <c r="G69" s="22">
        <f t="shared" si="7"/>
        <v>31955.09</v>
      </c>
    </row>
    <row r="70" spans="1:7" ht="12.75">
      <c r="A70" s="155" t="s">
        <v>63</v>
      </c>
      <c r="B70" s="155"/>
      <c r="C70" s="155"/>
      <c r="D70" s="42">
        <f t="shared" si="4"/>
        <v>44244</v>
      </c>
      <c r="E70" s="20">
        <f t="shared" si="5"/>
        <v>30075.38</v>
      </c>
      <c r="F70" s="43">
        <f t="shared" si="6"/>
        <v>1879.71</v>
      </c>
      <c r="G70" s="22">
        <f t="shared" si="7"/>
        <v>31955.09</v>
      </c>
    </row>
    <row r="71" spans="1:7" ht="12.75">
      <c r="A71" s="155" t="s">
        <v>64</v>
      </c>
      <c r="B71" s="155"/>
      <c r="C71" s="155"/>
      <c r="D71" s="42">
        <f t="shared" si="4"/>
        <v>44272</v>
      </c>
      <c r="E71" s="20">
        <f t="shared" si="5"/>
        <v>30075.26000000001</v>
      </c>
      <c r="F71" s="43">
        <f t="shared" si="6"/>
        <v>1879.7400000000052</v>
      </c>
      <c r="G71" s="22">
        <f t="shared" si="7"/>
        <v>31955.000000000015</v>
      </c>
    </row>
    <row r="72" spans="1:7" ht="12.75" hidden="1">
      <c r="A72" s="155" t="s">
        <v>65</v>
      </c>
      <c r="B72" s="155"/>
      <c r="C72" s="155"/>
      <c r="D72" s="42" t="str">
        <f t="shared" si="4"/>
        <v> </v>
      </c>
      <c r="E72" s="20" t="str">
        <f t="shared" si="5"/>
        <v> </v>
      </c>
      <c r="F72" s="43" t="str">
        <f t="shared" si="6"/>
        <v> </v>
      </c>
      <c r="G72" s="22" t="str">
        <f t="shared" si="7"/>
        <v> </v>
      </c>
    </row>
    <row r="73" spans="1:7" ht="12.75" hidden="1">
      <c r="A73" s="155" t="s">
        <v>66</v>
      </c>
      <c r="B73" s="155"/>
      <c r="C73" s="155"/>
      <c r="D73" s="42" t="str">
        <f t="shared" si="4"/>
        <v> </v>
      </c>
      <c r="E73" s="20" t="str">
        <f t="shared" si="5"/>
        <v> </v>
      </c>
      <c r="F73" s="43" t="str">
        <f t="shared" si="6"/>
        <v> </v>
      </c>
      <c r="G73" s="22" t="str">
        <f t="shared" si="7"/>
        <v> </v>
      </c>
    </row>
    <row r="74" spans="1:7" ht="12.75" hidden="1">
      <c r="A74" s="155" t="s">
        <v>67</v>
      </c>
      <c r="B74" s="155"/>
      <c r="C74" s="155"/>
      <c r="D74" s="42" t="str">
        <f t="shared" si="4"/>
        <v> </v>
      </c>
      <c r="E74" s="20" t="str">
        <f t="shared" si="5"/>
        <v> </v>
      </c>
      <c r="F74" s="43" t="str">
        <f t="shared" si="6"/>
        <v> </v>
      </c>
      <c r="G74" s="22" t="str">
        <f t="shared" si="7"/>
        <v> </v>
      </c>
    </row>
    <row r="75" spans="1:7" ht="12.75" hidden="1">
      <c r="A75" s="155" t="s">
        <v>68</v>
      </c>
      <c r="B75" s="155"/>
      <c r="C75" s="155"/>
      <c r="D75" s="42" t="str">
        <f t="shared" si="4"/>
        <v> </v>
      </c>
      <c r="E75" s="20" t="str">
        <f t="shared" si="5"/>
        <v> </v>
      </c>
      <c r="F75" s="43" t="str">
        <f t="shared" si="6"/>
        <v> </v>
      </c>
      <c r="G75" s="22" t="str">
        <f t="shared" si="7"/>
        <v> </v>
      </c>
    </row>
    <row r="76" spans="1:7" ht="12.75" hidden="1">
      <c r="A76" s="155" t="s">
        <v>69</v>
      </c>
      <c r="B76" s="155"/>
      <c r="C76" s="155"/>
      <c r="D76" s="42" t="str">
        <f t="shared" si="4"/>
        <v> </v>
      </c>
      <c r="E76" s="20" t="str">
        <f t="shared" si="5"/>
        <v> </v>
      </c>
      <c r="F76" s="43" t="str">
        <f t="shared" si="6"/>
        <v> </v>
      </c>
      <c r="G76" s="22" t="str">
        <f t="shared" si="7"/>
        <v> </v>
      </c>
    </row>
    <row r="77" spans="1:7" ht="12.75" hidden="1">
      <c r="A77" s="155" t="s">
        <v>70</v>
      </c>
      <c r="B77" s="155"/>
      <c r="C77" s="155"/>
      <c r="D77" s="42" t="str">
        <f t="shared" si="4"/>
        <v> </v>
      </c>
      <c r="E77" s="20" t="str">
        <f t="shared" si="5"/>
        <v> </v>
      </c>
      <c r="F77" s="43" t="str">
        <f t="shared" si="6"/>
        <v> </v>
      </c>
      <c r="G77" s="22" t="str">
        <f t="shared" si="7"/>
        <v> </v>
      </c>
    </row>
    <row r="78" spans="1:7" ht="12.75" hidden="1">
      <c r="A78" s="155" t="s">
        <v>71</v>
      </c>
      <c r="B78" s="155"/>
      <c r="C78" s="155"/>
      <c r="D78" s="42" t="str">
        <f t="shared" si="4"/>
        <v> </v>
      </c>
      <c r="E78" s="20" t="str">
        <f t="shared" si="5"/>
        <v> </v>
      </c>
      <c r="F78" s="43" t="str">
        <f t="shared" si="6"/>
        <v> </v>
      </c>
      <c r="G78" s="22" t="str">
        <f t="shared" si="7"/>
        <v> </v>
      </c>
    </row>
    <row r="79" spans="1:7" ht="12.75" hidden="1">
      <c r="A79" s="155" t="s">
        <v>72</v>
      </c>
      <c r="B79" s="155"/>
      <c r="C79" s="155"/>
      <c r="D79" s="42" t="str">
        <f t="shared" si="4"/>
        <v> </v>
      </c>
      <c r="E79" s="20" t="str">
        <f t="shared" si="5"/>
        <v> </v>
      </c>
      <c r="F79" s="43" t="str">
        <f t="shared" si="6"/>
        <v> </v>
      </c>
      <c r="G79" s="22" t="str">
        <f t="shared" si="7"/>
        <v> </v>
      </c>
    </row>
    <row r="80" spans="1:7" ht="12.75" hidden="1">
      <c r="A80" s="155" t="s">
        <v>73</v>
      </c>
      <c r="B80" s="155"/>
      <c r="C80" s="155"/>
      <c r="D80" s="42" t="str">
        <f t="shared" si="4"/>
        <v> </v>
      </c>
      <c r="E80" s="20" t="str">
        <f t="shared" si="5"/>
        <v> </v>
      </c>
      <c r="F80" s="43" t="str">
        <f t="shared" si="6"/>
        <v> </v>
      </c>
      <c r="G80" s="22" t="str">
        <f t="shared" si="7"/>
        <v> </v>
      </c>
    </row>
    <row r="81" spans="1:7" ht="12.75" hidden="1">
      <c r="A81" s="155" t="s">
        <v>74</v>
      </c>
      <c r="B81" s="155"/>
      <c r="C81" s="155"/>
      <c r="D81" s="42" t="str">
        <f t="shared" si="4"/>
        <v> </v>
      </c>
      <c r="E81" s="20" t="str">
        <f t="shared" si="5"/>
        <v> </v>
      </c>
      <c r="F81" s="43" t="str">
        <f t="shared" si="6"/>
        <v> </v>
      </c>
      <c r="G81" s="22" t="str">
        <f t="shared" si="7"/>
        <v> </v>
      </c>
    </row>
    <row r="82" spans="1:7" ht="12.75" hidden="1">
      <c r="A82" s="155" t="s">
        <v>75</v>
      </c>
      <c r="B82" s="155"/>
      <c r="C82" s="155"/>
      <c r="D82" s="42" t="str">
        <f t="shared" si="4"/>
        <v> </v>
      </c>
      <c r="E82" s="20" t="str">
        <f t="shared" si="5"/>
        <v> </v>
      </c>
      <c r="F82" s="43" t="str">
        <f t="shared" si="6"/>
        <v> </v>
      </c>
      <c r="G82" s="22" t="str">
        <f t="shared" si="7"/>
        <v> </v>
      </c>
    </row>
    <row r="83" spans="1:7" ht="12.75" hidden="1">
      <c r="A83" s="155" t="s">
        <v>76</v>
      </c>
      <c r="B83" s="155"/>
      <c r="C83" s="155"/>
      <c r="D83" s="42" t="str">
        <f>IF($A$47&lt;VALUE(LEFT(A83,2))," ",DATE(YEAR(D82+30),MONTH(D82+30),DAY(D82)))</f>
        <v> </v>
      </c>
      <c r="E83" s="20" t="str">
        <f>IF($A$47&lt;VALUE(LEFT(A83,2))," ",IF($A$47=VALUE(LEFT(A83,2)),$G$43-($E$48*($A$47-1)),E82))</f>
        <v> </v>
      </c>
      <c r="F83" s="43" t="str">
        <f>IF($A$47&lt;VALUE(LEFT(A83,2))," ",IF($A$47=VALUE(LEFT(A83,2)),$G$44-($F$48*($A$47-1)),F82))</f>
        <v> </v>
      </c>
      <c r="G83" s="22" t="str">
        <f>IF($A$47&lt;VALUE(LEFT(A83,2))," ",SUM(E83:F83))</f>
        <v> </v>
      </c>
    </row>
    <row r="84" spans="2:7" ht="12.75">
      <c r="B84" s="34"/>
      <c r="E84" s="30"/>
      <c r="F84" s="28"/>
      <c r="G84" s="35"/>
    </row>
    <row r="85" ht="12.75">
      <c r="A85" s="26" t="s">
        <v>77</v>
      </c>
    </row>
    <row r="86" spans="2:6" ht="12.75">
      <c r="B86" s="1" t="s">
        <v>78</v>
      </c>
      <c r="F86" s="44">
        <f>D66</f>
        <v>44121</v>
      </c>
    </row>
    <row r="87" spans="2:9" ht="12.75">
      <c r="B87" s="1" t="s">
        <v>79</v>
      </c>
      <c r="F87" s="44">
        <f>DATE(YEAR(MAX(D48:D71)+30),MONTH(MAX(D48:D71)+30),DAY(F86))</f>
        <v>44303</v>
      </c>
      <c r="G87" s="45">
        <f>ROUND(((G24+G25)*((100-A33)/100))+(G29*(100-A33)/100),2)</f>
        <v>6135376.51</v>
      </c>
      <c r="I87" s="22"/>
    </row>
    <row r="88" ht="12.75">
      <c r="B88" s="1" t="s">
        <v>80</v>
      </c>
    </row>
    <row r="90" spans="1:4" ht="12.75">
      <c r="A90" s="32" t="s">
        <v>81</v>
      </c>
      <c r="B90" s="46"/>
      <c r="C90" s="46"/>
      <c r="D90" s="46"/>
    </row>
    <row r="91" spans="1:7" ht="12.75">
      <c r="A91" s="128" t="s">
        <v>119</v>
      </c>
      <c r="B91" s="128"/>
      <c r="C91" s="128"/>
      <c r="D91" s="128"/>
      <c r="E91" s="128"/>
      <c r="F91" s="128"/>
      <c r="G91" s="128"/>
    </row>
    <row r="92" spans="1:4" ht="12.75">
      <c r="A92" s="46" t="s">
        <v>82</v>
      </c>
      <c r="B92" s="46"/>
      <c r="C92" s="46"/>
      <c r="D92" s="46"/>
    </row>
    <row r="93" spans="1:4" ht="12.75">
      <c r="A93" s="46" t="s">
        <v>83</v>
      </c>
      <c r="B93" s="46"/>
      <c r="C93" s="46"/>
      <c r="D93" s="46"/>
    </row>
    <row r="94" spans="1:4" ht="12.75">
      <c r="A94" s="46" t="s">
        <v>84</v>
      </c>
      <c r="B94" s="46"/>
      <c r="C94" s="46"/>
      <c r="D94" s="46"/>
    </row>
    <row r="95" spans="1:4" ht="12.75">
      <c r="A95" s="47" t="s">
        <v>85</v>
      </c>
      <c r="B95" s="46"/>
      <c r="C95" s="46"/>
      <c r="D95" s="46"/>
    </row>
    <row r="96" spans="1:4" ht="12.75">
      <c r="A96" s="47" t="s">
        <v>86</v>
      </c>
      <c r="B96" s="46"/>
      <c r="C96" s="46"/>
      <c r="D96" s="46"/>
    </row>
    <row r="97" spans="1:4" ht="12.75">
      <c r="A97" s="47" t="s">
        <v>87</v>
      </c>
      <c r="B97" s="46"/>
      <c r="C97" s="46"/>
      <c r="D97" s="46"/>
    </row>
    <row r="98" spans="1:4" ht="12.75">
      <c r="A98" s="47" t="s">
        <v>88</v>
      </c>
      <c r="B98" s="46"/>
      <c r="C98" s="46"/>
      <c r="D98" s="46"/>
    </row>
    <row r="99" spans="1:4" ht="12.75">
      <c r="A99" s="47" t="s">
        <v>89</v>
      </c>
      <c r="B99" s="46"/>
      <c r="C99" s="46"/>
      <c r="D99" s="46"/>
    </row>
    <row r="100" spans="1:7" ht="12.75">
      <c r="A100" s="128" t="s">
        <v>118</v>
      </c>
      <c r="B100" s="128"/>
      <c r="C100" s="128"/>
      <c r="D100" s="128"/>
      <c r="E100" s="128"/>
      <c r="F100" s="128"/>
      <c r="G100" s="128"/>
    </row>
  </sheetData>
  <sheetProtection/>
  <mergeCells count="44">
    <mergeCell ref="B1:F1"/>
    <mergeCell ref="B2:F2"/>
    <mergeCell ref="A3:G3"/>
    <mergeCell ref="F6:G6"/>
    <mergeCell ref="F7:G7"/>
    <mergeCell ref="B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91:G91"/>
    <mergeCell ref="A100:G100"/>
    <mergeCell ref="A78:C78"/>
    <mergeCell ref="A79:C79"/>
    <mergeCell ref="A80:C80"/>
    <mergeCell ref="A81:C81"/>
    <mergeCell ref="A82:C82"/>
    <mergeCell ref="A83:C83"/>
  </mergeCells>
  <conditionalFormatting sqref="B11 B25">
    <cfRule type="expression" priority="1" dxfId="41" stopIfTrue="1">
      <formula>G11=0</formula>
    </cfRule>
  </conditionalFormatting>
  <conditionalFormatting sqref="A49:C56">
    <cfRule type="expression" priority="2" dxfId="41" stopIfTrue="1">
      <formula>VALUE(NoDPSchedule)&lt;VALUE(LEFT(A49,1))</formula>
    </cfRule>
  </conditionalFormatting>
  <conditionalFormatting sqref="A57:C83">
    <cfRule type="expression" priority="3" dxfId="41" stopIfTrue="1">
      <formula>VALUE(NoDPSchedule)&lt;VALUE(LEFT(A57,2))</formula>
    </cfRule>
  </conditionalFormatting>
  <conditionalFormatting sqref="G11 G25">
    <cfRule type="expression" priority="4" dxfId="41" stopIfTrue="1">
      <formula>G11=0</formula>
    </cfRule>
  </conditionalFormatting>
  <conditionalFormatting sqref="D4">
    <cfRule type="expression" priority="5" dxfId="42" stopIfTrue="1">
      <formula>G5&lt;=TODAY()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7"/>
  <sheetViews>
    <sheetView zoomScalePageLayoutView="0" workbookViewId="0" topLeftCell="A1">
      <selection activeCell="B9" sqref="B9"/>
    </sheetView>
  </sheetViews>
  <sheetFormatPr defaultColWidth="12.375" defaultRowHeight="12.75" customHeight="1"/>
  <cols>
    <col min="1" max="4" width="12.375" style="86" customWidth="1"/>
    <col min="5" max="6" width="14.625" style="86" customWidth="1"/>
    <col min="7" max="7" width="22.125" style="86" customWidth="1"/>
    <col min="8" max="8" width="15.00390625" style="86" hidden="1" customWidth="1"/>
    <col min="9" max="9" width="15.00390625" style="86" customWidth="1"/>
    <col min="10" max="10" width="14.125" style="86" customWidth="1"/>
    <col min="11" max="16384" width="12.375" style="86" customWidth="1"/>
  </cols>
  <sheetData>
    <row r="1" spans="1:7" ht="14.25" customHeight="1" thickTop="1">
      <c r="A1" s="84" t="s">
        <v>123</v>
      </c>
      <c r="B1" s="157" t="s">
        <v>0</v>
      </c>
      <c r="C1" s="157"/>
      <c r="D1" s="157"/>
      <c r="E1" s="157"/>
      <c r="F1" s="157"/>
      <c r="G1" s="85"/>
    </row>
    <row r="2" spans="1:7" ht="14.25" customHeight="1">
      <c r="A2" s="87"/>
      <c r="B2" s="158" t="s">
        <v>1</v>
      </c>
      <c r="C2" s="158"/>
      <c r="D2" s="158"/>
      <c r="E2" s="158"/>
      <c r="F2" s="158"/>
      <c r="G2" s="88"/>
    </row>
    <row r="3" spans="1:7" ht="30" customHeight="1">
      <c r="A3" s="159" t="s">
        <v>2</v>
      </c>
      <c r="B3" s="160"/>
      <c r="C3" s="160"/>
      <c r="D3" s="160"/>
      <c r="E3" s="160"/>
      <c r="F3" s="160"/>
      <c r="G3" s="161"/>
    </row>
    <row r="4" spans="1:7" ht="13.5" customHeight="1" thickBot="1">
      <c r="A4" s="89">
        <f>IF(A43&lt;=12,12,A43)</f>
        <v>36</v>
      </c>
      <c r="B4" s="90"/>
      <c r="C4" s="90"/>
      <c r="D4" s="91" t="str">
        <f>IF(A43&gt;G5,"TERM IS SUBJECT FOR APPROVAL","SAMPLECOMPUTATION ONLY")</f>
        <v>SAMPLECOMPUTATION ONLY</v>
      </c>
      <c r="E4" s="90"/>
      <c r="F4" s="90"/>
      <c r="G4" s="92"/>
    </row>
    <row r="5" ht="13.5" customHeight="1" thickTop="1">
      <c r="G5" s="93">
        <v>42</v>
      </c>
    </row>
    <row r="6" spans="1:7" ht="12.75">
      <c r="A6" s="94" t="s">
        <v>3</v>
      </c>
      <c r="B6" s="94" t="s">
        <v>4</v>
      </c>
      <c r="C6" s="94" t="s">
        <v>5</v>
      </c>
      <c r="D6" s="94" t="s">
        <v>6</v>
      </c>
      <c r="E6" s="94"/>
      <c r="F6" s="162" t="s">
        <v>7</v>
      </c>
      <c r="G6" s="162"/>
    </row>
    <row r="7" spans="1:7" ht="12.75">
      <c r="A7" s="12" t="s">
        <v>8</v>
      </c>
      <c r="B7" s="12">
        <v>1117</v>
      </c>
      <c r="C7" s="12">
        <v>11</v>
      </c>
      <c r="D7" s="12">
        <v>23.4</v>
      </c>
      <c r="E7" s="12"/>
      <c r="F7" s="138" t="s">
        <v>10</v>
      </c>
      <c r="G7" s="138"/>
    </row>
    <row r="8" spans="1:7" ht="12.75" customHeight="1">
      <c r="A8" s="1"/>
      <c r="B8" s="1"/>
      <c r="C8" s="1"/>
      <c r="D8" s="1"/>
      <c r="E8" s="1"/>
      <c r="F8" s="1"/>
      <c r="G8" s="1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>
      <c r="A10" s="13" t="s">
        <v>11</v>
      </c>
      <c r="B10" s="13"/>
      <c r="C10" s="14"/>
      <c r="D10" s="15"/>
      <c r="E10" s="15"/>
      <c r="F10" s="16" t="s">
        <v>12</v>
      </c>
      <c r="G10" s="17">
        <v>5308000</v>
      </c>
    </row>
    <row r="11" spans="1:7" ht="12.75">
      <c r="A11" s="86" t="s">
        <v>13</v>
      </c>
      <c r="B11" s="86" t="s">
        <v>14</v>
      </c>
      <c r="C11" s="98"/>
      <c r="F11" s="99"/>
      <c r="G11" s="100">
        <f>ROUND(IF(ISERROR(FIND("PARKING",Model,1)),IF(SellingPrice&gt;3199200,(G10-(G10/1.12)),0),(G10-(G10/1.12))),2)</f>
        <v>568714.29</v>
      </c>
    </row>
    <row r="12" spans="1:10" ht="12.75">
      <c r="A12" s="101">
        <v>3</v>
      </c>
      <c r="B12" s="86" t="s">
        <v>124</v>
      </c>
      <c r="F12" s="99"/>
      <c r="G12" s="102">
        <f>H23</f>
        <v>142178.57129999998</v>
      </c>
      <c r="H12" s="103">
        <f>SellingPrice-G11</f>
        <v>4739285.71</v>
      </c>
      <c r="I12" s="102"/>
      <c r="J12" s="102"/>
    </row>
    <row r="13" spans="2:10" ht="12.75" hidden="1">
      <c r="B13" s="86" t="s">
        <v>15</v>
      </c>
      <c r="G13" s="102">
        <v>0</v>
      </c>
      <c r="I13" s="102"/>
      <c r="J13" s="102"/>
    </row>
    <row r="14" spans="2:10" ht="12.75" hidden="1">
      <c r="B14" s="86" t="s">
        <v>16</v>
      </c>
      <c r="G14" s="102">
        <v>0</v>
      </c>
      <c r="I14" s="102"/>
      <c r="J14" s="102"/>
    </row>
    <row r="15" spans="2:9" ht="12.75" hidden="1">
      <c r="B15" s="86" t="s">
        <v>17</v>
      </c>
      <c r="G15" s="102">
        <v>0</v>
      </c>
      <c r="I15" s="102"/>
    </row>
    <row r="16" spans="2:9" ht="12.75" hidden="1">
      <c r="B16" s="86" t="s">
        <v>18</v>
      </c>
      <c r="G16" s="102">
        <v>0</v>
      </c>
      <c r="I16" s="102"/>
    </row>
    <row r="17" spans="2:9" ht="12.75" hidden="1">
      <c r="B17" s="86" t="s">
        <v>19</v>
      </c>
      <c r="G17" s="102">
        <v>0</v>
      </c>
      <c r="I17" s="102"/>
    </row>
    <row r="18" spans="2:10" ht="12.75" hidden="1">
      <c r="B18" s="86" t="s">
        <v>20</v>
      </c>
      <c r="G18" s="102">
        <v>0</v>
      </c>
      <c r="H18" s="102"/>
      <c r="I18" s="102"/>
      <c r="J18" s="102"/>
    </row>
    <row r="19" spans="2:10" ht="12.75" hidden="1">
      <c r="B19" s="86" t="s">
        <v>21</v>
      </c>
      <c r="G19" s="102">
        <v>0</v>
      </c>
      <c r="J19" s="102"/>
    </row>
    <row r="20" spans="2:10" ht="12.75" hidden="1">
      <c r="B20" s="86" t="s">
        <v>22</v>
      </c>
      <c r="G20" s="102">
        <v>0</v>
      </c>
      <c r="J20" s="102"/>
    </row>
    <row r="21" spans="2:10" ht="12.75" hidden="1">
      <c r="B21" s="86" t="s">
        <v>23</v>
      </c>
      <c r="G21" s="102">
        <v>0</v>
      </c>
      <c r="J21" s="102"/>
    </row>
    <row r="22" spans="2:10" ht="12.75" hidden="1">
      <c r="B22" s="86" t="s">
        <v>24</v>
      </c>
      <c r="G22" s="102">
        <v>0</v>
      </c>
      <c r="J22" s="102"/>
    </row>
    <row r="23" spans="6:10" ht="13.5" customHeight="1" thickBot="1">
      <c r="F23" s="99"/>
      <c r="G23" s="104"/>
      <c r="H23" s="103">
        <f>H12*3%</f>
        <v>142178.57129999998</v>
      </c>
      <c r="J23" s="102"/>
    </row>
    <row r="24" spans="1:9" ht="13.5" customHeight="1" thickTop="1">
      <c r="A24" s="95" t="s">
        <v>125</v>
      </c>
      <c r="B24" s="105"/>
      <c r="C24" s="96"/>
      <c r="D24" s="96"/>
      <c r="E24" s="96"/>
      <c r="F24" s="97" t="s">
        <v>12</v>
      </c>
      <c r="G24" s="106">
        <f>(SellingPrice-G11)-SUM(G12:G22)</f>
        <v>4597107.1387</v>
      </c>
      <c r="I24" s="102"/>
    </row>
    <row r="25" spans="1:9" ht="12.75">
      <c r="A25" s="86" t="s">
        <v>26</v>
      </c>
      <c r="B25" s="86" t="s">
        <v>14</v>
      </c>
      <c r="G25" s="102">
        <f>ROUND(IF(ISERROR(FIND("PARKING",Model,1)),IF(G24&gt;3199200,G24*12%,0),G24*12%),2)</f>
        <v>551652.86</v>
      </c>
      <c r="I25" s="102"/>
    </row>
    <row r="26" spans="1:7" ht="12.75" hidden="1">
      <c r="A26" s="101">
        <v>7</v>
      </c>
      <c r="B26" s="86" t="s">
        <v>27</v>
      </c>
      <c r="G26" s="102">
        <f>ROUND(G24*(A26/100),2)</f>
        <v>321797.5</v>
      </c>
    </row>
    <row r="27" spans="1:7" ht="12.75" hidden="1">
      <c r="A27" s="101"/>
      <c r="B27" s="86" t="s">
        <v>28</v>
      </c>
      <c r="F27" s="101">
        <f>IF(G27&gt;50000,50000,G27)</f>
        <v>0</v>
      </c>
      <c r="G27" s="102">
        <v>0</v>
      </c>
    </row>
    <row r="28" spans="1:7" ht="12.75" hidden="1">
      <c r="A28" s="101"/>
      <c r="B28" s="86" t="s">
        <v>29</v>
      </c>
      <c r="G28" s="102">
        <v>0</v>
      </c>
    </row>
    <row r="29" spans="1:7" ht="13.5" customHeight="1" thickBot="1">
      <c r="A29" s="101"/>
      <c r="B29" s="86" t="s">
        <v>27</v>
      </c>
      <c r="G29" s="102">
        <f>ROUND(SUM(G26,G28,F27),2)</f>
        <v>321797.5</v>
      </c>
    </row>
    <row r="30" spans="1:7" ht="13.5" customHeight="1" thickTop="1">
      <c r="A30" s="95" t="s">
        <v>30</v>
      </c>
      <c r="B30" s="96"/>
      <c r="C30" s="96"/>
      <c r="D30" s="96"/>
      <c r="E30" s="96"/>
      <c r="F30" s="97" t="s">
        <v>12</v>
      </c>
      <c r="G30" s="106">
        <f>G24+SUM(G25,G29)</f>
        <v>5470557.4987</v>
      </c>
    </row>
    <row r="31" spans="1:7" ht="13.5" customHeight="1" thickBot="1">
      <c r="A31" s="86" t="s">
        <v>13</v>
      </c>
      <c r="B31" s="86" t="s">
        <v>34</v>
      </c>
      <c r="F31" s="107">
        <f>DATE(2019,10,7)</f>
        <v>43745</v>
      </c>
      <c r="G31" s="102">
        <v>20000</v>
      </c>
    </row>
    <row r="32" spans="1:7" ht="13.5" customHeight="1" thickTop="1">
      <c r="A32" s="95" t="s">
        <v>126</v>
      </c>
      <c r="B32" s="96"/>
      <c r="C32" s="96"/>
      <c r="D32" s="96"/>
      <c r="E32" s="108"/>
      <c r="F32" s="97" t="s">
        <v>12</v>
      </c>
      <c r="G32" s="106">
        <f>G30-G31</f>
        <v>5450557.4987</v>
      </c>
    </row>
    <row r="33" ht="12.75">
      <c r="A33" s="109">
        <v>100</v>
      </c>
    </row>
    <row r="34" ht="12.75">
      <c r="A34" s="110" t="s">
        <v>31</v>
      </c>
    </row>
    <row r="35" spans="1:10" ht="13.5" customHeight="1" thickBot="1">
      <c r="A35" s="101">
        <v>10</v>
      </c>
      <c r="B35" s="86" t="str">
        <f>CONCATENATE("Spot Downpayment ("&amp;A35&amp;"% of Selling Price)")</f>
        <v>Spot Downpayment (10% of Selling Price)</v>
      </c>
      <c r="E35" s="111"/>
      <c r="F35" s="107"/>
      <c r="G35" s="102">
        <f>ROUND((SUM(G24:G25)*(A35/100))-(G31),2)</f>
        <v>494876</v>
      </c>
      <c r="H35" s="102"/>
      <c r="I35" s="102"/>
      <c r="J35" s="112"/>
    </row>
    <row r="36" spans="2:7" ht="13.5" customHeight="1" thickTop="1">
      <c r="B36" s="113" t="s">
        <v>127</v>
      </c>
      <c r="E36" s="111"/>
      <c r="F36" s="107">
        <f>ReservationDate+19</f>
        <v>43764</v>
      </c>
      <c r="G36" s="114">
        <f>SUM(G35:G35)</f>
        <v>494876</v>
      </c>
    </row>
    <row r="37" spans="2:7" ht="12.75">
      <c r="B37" s="113"/>
      <c r="E37" s="111"/>
      <c r="F37" s="107"/>
      <c r="G37" s="115"/>
    </row>
    <row r="38" spans="1:7" ht="12.75">
      <c r="A38" s="110" t="s">
        <v>128</v>
      </c>
      <c r="B38" s="116"/>
      <c r="E38" s="111"/>
      <c r="F38" s="107"/>
      <c r="G38" s="117"/>
    </row>
    <row r="39" spans="1:9" ht="12.75">
      <c r="A39" s="101">
        <f>A33-A35</f>
        <v>90</v>
      </c>
      <c r="B39" s="118" t="str">
        <f>CONCATENATE("Balance Remaining ("&amp;A39&amp;"% of Selling Price)")</f>
        <v>Balance Remaining (90% of Selling Price)</v>
      </c>
      <c r="E39" s="111"/>
      <c r="F39" s="107"/>
      <c r="G39" s="102">
        <f>(SUM(G24:G25)-G35)-G31</f>
        <v>4633883.9987</v>
      </c>
      <c r="I39" s="102"/>
    </row>
    <row r="40" spans="2:7" ht="13.5" customHeight="1" thickBot="1">
      <c r="B40" s="118" t="str">
        <f>IF(LumpOCDate&lt;&gt;"","Other Charges is payable on or before","Other Charges")</f>
        <v>Other Charges</v>
      </c>
      <c r="E40" s="111"/>
      <c r="F40" s="107"/>
      <c r="G40" s="102">
        <f>G29</f>
        <v>321797.5</v>
      </c>
    </row>
    <row r="41" spans="2:7" ht="13.5" customHeight="1" thickTop="1">
      <c r="B41" s="113" t="str">
        <f>CONCATENATE("Remaining Balance and OC due and payable in "&amp;A43&amp;" months at 0 intrest")</f>
        <v>Remaining Balance and OC due and payable in 36 months at 0 intrest</v>
      </c>
      <c r="E41" s="111"/>
      <c r="F41" s="107"/>
      <c r="G41" s="114">
        <f>SUM(G39:G40)</f>
        <v>4955681.4987</v>
      </c>
    </row>
    <row r="42" spans="2:7" ht="12.75">
      <c r="B42" s="118"/>
      <c r="E42" s="111"/>
      <c r="F42" s="107"/>
      <c r="G42" s="117"/>
    </row>
    <row r="43" spans="1:7" ht="25.5" customHeight="1">
      <c r="A43" s="119">
        <v>36</v>
      </c>
      <c r="B43" s="163" t="s">
        <v>37</v>
      </c>
      <c r="C43" s="163"/>
      <c r="D43" s="120" t="s">
        <v>38</v>
      </c>
      <c r="E43" s="121" t="s">
        <v>39</v>
      </c>
      <c r="F43" s="122" t="s">
        <v>27</v>
      </c>
      <c r="G43" s="123" t="s">
        <v>40</v>
      </c>
    </row>
    <row r="44" spans="1:7" ht="12.75">
      <c r="A44" s="164" t="s">
        <v>41</v>
      </c>
      <c r="B44" s="164"/>
      <c r="C44" s="164"/>
      <c r="D44" s="124">
        <f>IF(AND(DAY(F36)&gt;2,DAY(F36)&lt;19),DATE(YEAR(F36+30),MONTH(F36+30),DAY(17)),DATE(YEAR(F36+30),IF(DAY(F36)&gt;18,MONTH(F36+30)+1,MONTH(F36+30)),DAY(2)))</f>
        <v>43801</v>
      </c>
      <c r="E44" s="100">
        <f>ROUND(G39/A43,2)</f>
        <v>128719</v>
      </c>
      <c r="F44" s="125">
        <f>ROUND(IF(LumpOCDate&lt;&gt;"",IF(D44=LumpOCDate,$G$40,0),$G$40/NoDPSchedule),2)</f>
        <v>8938.82</v>
      </c>
      <c r="G44" s="102">
        <f>SUM(E44:F44)</f>
        <v>137657.82</v>
      </c>
    </row>
    <row r="45" spans="1:7" ht="12.75">
      <c r="A45" s="164" t="s">
        <v>42</v>
      </c>
      <c r="B45" s="164"/>
      <c r="C45" s="164"/>
      <c r="D45" s="124">
        <f>IF($A$43&lt;VALUE(LEFT(A45,1))," ",DATE(YEAR(D44+30),MONTH(D44+30),DAY(D44)))</f>
        <v>43832</v>
      </c>
      <c r="E45" s="100">
        <f>IF($A$43&lt;VALUE(LEFT(A45,1))," ",IF($A$43=VALUE(LEFT(A45,1)),$G$39-($E$44*($A$43-1)),E44))</f>
        <v>128719</v>
      </c>
      <c r="F45" s="125">
        <f>IF($A$43&lt;VALUE(LEFT(A45,1))," ",IF($A$43=VALUE(LEFT(A45,1)),$G$40-($F$44*($A$43-1)),F44))</f>
        <v>8938.82</v>
      </c>
      <c r="G45" s="102">
        <f aca="true" t="shared" si="0" ref="G45:G52">IF(NoDPSchedule&lt;VALUE(LEFT(A45,1))," ",SUM(E45:F45))</f>
        <v>137657.82</v>
      </c>
    </row>
    <row r="46" spans="1:7" ht="12.75">
      <c r="A46" s="164" t="s">
        <v>43</v>
      </c>
      <c r="B46" s="164"/>
      <c r="C46" s="164"/>
      <c r="D46" s="124">
        <f>IF($A$43&lt;VALUE(LEFT(A46,1))," ",DATE(YEAR(D45+30),MONTH(D45+30),DAY(D45)))</f>
        <v>43863</v>
      </c>
      <c r="E46" s="100">
        <f aca="true" t="shared" si="1" ref="E46:E52">IF($A$43&lt;VALUE(LEFT(A46,1))," ",IF($A$43=VALUE(LEFT(A46,1)),$G$39-($E$44*($A$43-1)),E45))</f>
        <v>128719</v>
      </c>
      <c r="F46" s="125">
        <f aca="true" t="shared" si="2" ref="F46:F52">IF($A$43&lt;VALUE(LEFT(A46,1))," ",IF($A$43=VALUE(LEFT(A46,1)),$G$40-($F$44*($A$43-1)),F45))</f>
        <v>8938.82</v>
      </c>
      <c r="G46" s="102">
        <f t="shared" si="0"/>
        <v>137657.82</v>
      </c>
    </row>
    <row r="47" spans="1:7" ht="12.75">
      <c r="A47" s="164" t="s">
        <v>44</v>
      </c>
      <c r="B47" s="164"/>
      <c r="C47" s="164"/>
      <c r="D47" s="124">
        <f aca="true" t="shared" si="3" ref="D47:D52">IF($A$43&lt;VALUE(LEFT(A47,1))," ",DATE(YEAR(D46+30),MONTH(D46+30),DAY(D46)))</f>
        <v>43892</v>
      </c>
      <c r="E47" s="100">
        <f t="shared" si="1"/>
        <v>128719</v>
      </c>
      <c r="F47" s="125">
        <f t="shared" si="2"/>
        <v>8938.82</v>
      </c>
      <c r="G47" s="102">
        <f t="shared" si="0"/>
        <v>137657.82</v>
      </c>
    </row>
    <row r="48" spans="1:7" ht="12.75">
      <c r="A48" s="164" t="s">
        <v>45</v>
      </c>
      <c r="B48" s="164"/>
      <c r="C48" s="164"/>
      <c r="D48" s="124">
        <f t="shared" si="3"/>
        <v>43923</v>
      </c>
      <c r="E48" s="100">
        <f t="shared" si="1"/>
        <v>128719</v>
      </c>
      <c r="F48" s="125">
        <f t="shared" si="2"/>
        <v>8938.82</v>
      </c>
      <c r="G48" s="102">
        <f t="shared" si="0"/>
        <v>137657.82</v>
      </c>
    </row>
    <row r="49" spans="1:7" ht="12.75">
      <c r="A49" s="164" t="s">
        <v>46</v>
      </c>
      <c r="B49" s="164"/>
      <c r="C49" s="164"/>
      <c r="D49" s="124">
        <f t="shared" si="3"/>
        <v>43953</v>
      </c>
      <c r="E49" s="100">
        <f t="shared" si="1"/>
        <v>128719</v>
      </c>
      <c r="F49" s="125">
        <f t="shared" si="2"/>
        <v>8938.82</v>
      </c>
      <c r="G49" s="102">
        <f t="shared" si="0"/>
        <v>137657.82</v>
      </c>
    </row>
    <row r="50" spans="1:7" ht="12.75">
      <c r="A50" s="164" t="s">
        <v>47</v>
      </c>
      <c r="B50" s="164"/>
      <c r="C50" s="164"/>
      <c r="D50" s="124">
        <f t="shared" si="3"/>
        <v>43984</v>
      </c>
      <c r="E50" s="100">
        <f t="shared" si="1"/>
        <v>128719</v>
      </c>
      <c r="F50" s="125">
        <f t="shared" si="2"/>
        <v>8938.82</v>
      </c>
      <c r="G50" s="102">
        <f t="shared" si="0"/>
        <v>137657.82</v>
      </c>
    </row>
    <row r="51" spans="1:7" ht="12.75">
      <c r="A51" s="164" t="s">
        <v>48</v>
      </c>
      <c r="B51" s="164"/>
      <c r="C51" s="164"/>
      <c r="D51" s="124">
        <f t="shared" si="3"/>
        <v>44014</v>
      </c>
      <c r="E51" s="100">
        <f t="shared" si="1"/>
        <v>128719</v>
      </c>
      <c r="F51" s="125">
        <f t="shared" si="2"/>
        <v>8938.82</v>
      </c>
      <c r="G51" s="102">
        <f t="shared" si="0"/>
        <v>137657.82</v>
      </c>
    </row>
    <row r="52" spans="1:7" ht="12.75">
      <c r="A52" s="164" t="s">
        <v>49</v>
      </c>
      <c r="B52" s="164"/>
      <c r="C52" s="164"/>
      <c r="D52" s="124">
        <f t="shared" si="3"/>
        <v>44045</v>
      </c>
      <c r="E52" s="100">
        <f t="shared" si="1"/>
        <v>128719</v>
      </c>
      <c r="F52" s="125">
        <f t="shared" si="2"/>
        <v>8938.82</v>
      </c>
      <c r="G52" s="102">
        <f t="shared" si="0"/>
        <v>137657.82</v>
      </c>
    </row>
    <row r="53" spans="1:7" ht="12.75">
      <c r="A53" s="164" t="s">
        <v>50</v>
      </c>
      <c r="B53" s="164"/>
      <c r="C53" s="164"/>
      <c r="D53" s="124">
        <f>IF($A$43&lt;VALUE(LEFT(A53,2))," ",DATE(YEAR(D52+30),MONTH(D52+30),DAY(D52)))</f>
        <v>44076</v>
      </c>
      <c r="E53" s="100">
        <f>IF($A$43&lt;VALUE(LEFT(A53,2))," ",IF($A$43=VALUE(LEFT(A53,2)),$G$39-($E$44*($A$43-1)),E52))</f>
        <v>128719</v>
      </c>
      <c r="F53" s="125">
        <f>IF($A$43&lt;VALUE(LEFT(A53,2))," ",IF($A$43=VALUE(LEFT(A53,2)),$G$40-($F$44*($A$43-1)),F52))</f>
        <v>8938.82</v>
      </c>
      <c r="G53" s="102">
        <f aca="true" t="shared" si="4" ref="G53:G79">IF(NoDPSchedule&lt;VALUE(LEFT(A53,2))," ",SUM(E53:F53))</f>
        <v>137657.82</v>
      </c>
    </row>
    <row r="54" spans="1:7" ht="12.75">
      <c r="A54" s="164" t="s">
        <v>51</v>
      </c>
      <c r="B54" s="164"/>
      <c r="C54" s="164"/>
      <c r="D54" s="124">
        <f aca="true" t="shared" si="5" ref="D54:D95">IF($A$43&lt;VALUE(LEFT(A54,2))," ",DATE(YEAR(D53+30),MONTH(D53+30),DAY(D53)))</f>
        <v>44106</v>
      </c>
      <c r="E54" s="100">
        <f aca="true" t="shared" si="6" ref="E54:E95">IF($A$43&lt;VALUE(LEFT(A54,2))," ",IF($A$43=VALUE(LEFT(A54,2)),$G$39-($E$44*($A$43-1)),E53))</f>
        <v>128719</v>
      </c>
      <c r="F54" s="125">
        <f aca="true" t="shared" si="7" ref="F54:F95">IF($A$43&lt;VALUE(LEFT(A54,2))," ",IF($A$43=VALUE(LEFT(A54,2)),$G$40-($F$44*($A$43-1)),F53))</f>
        <v>8938.82</v>
      </c>
      <c r="G54" s="102">
        <f t="shared" si="4"/>
        <v>137657.82</v>
      </c>
    </row>
    <row r="55" spans="1:7" ht="12.75">
      <c r="A55" s="164" t="s">
        <v>52</v>
      </c>
      <c r="B55" s="164"/>
      <c r="C55" s="164"/>
      <c r="D55" s="124">
        <f t="shared" si="5"/>
        <v>44137</v>
      </c>
      <c r="E55" s="100">
        <f t="shared" si="6"/>
        <v>128719</v>
      </c>
      <c r="F55" s="125">
        <f t="shared" si="7"/>
        <v>8938.82</v>
      </c>
      <c r="G55" s="102">
        <f t="shared" si="4"/>
        <v>137657.82</v>
      </c>
    </row>
    <row r="56" spans="1:7" ht="12.75">
      <c r="A56" s="164" t="s">
        <v>53</v>
      </c>
      <c r="B56" s="164"/>
      <c r="C56" s="164"/>
      <c r="D56" s="124">
        <f t="shared" si="5"/>
        <v>44167</v>
      </c>
      <c r="E56" s="100">
        <f t="shared" si="6"/>
        <v>128719</v>
      </c>
      <c r="F56" s="125">
        <f t="shared" si="7"/>
        <v>8938.82</v>
      </c>
      <c r="G56" s="102">
        <f t="shared" si="4"/>
        <v>137657.82</v>
      </c>
    </row>
    <row r="57" spans="1:7" ht="12.75">
      <c r="A57" s="164" t="s">
        <v>54</v>
      </c>
      <c r="B57" s="164"/>
      <c r="C57" s="164"/>
      <c r="D57" s="124">
        <f t="shared" si="5"/>
        <v>44198</v>
      </c>
      <c r="E57" s="100">
        <f t="shared" si="6"/>
        <v>128719</v>
      </c>
      <c r="F57" s="125">
        <f t="shared" si="7"/>
        <v>8938.82</v>
      </c>
      <c r="G57" s="102">
        <f t="shared" si="4"/>
        <v>137657.82</v>
      </c>
    </row>
    <row r="58" spans="1:7" ht="12.75">
      <c r="A58" s="164" t="s">
        <v>55</v>
      </c>
      <c r="B58" s="164"/>
      <c r="C58" s="164"/>
      <c r="D58" s="124">
        <f t="shared" si="5"/>
        <v>44229</v>
      </c>
      <c r="E58" s="100">
        <f t="shared" si="6"/>
        <v>128719</v>
      </c>
      <c r="F58" s="125">
        <f t="shared" si="7"/>
        <v>8938.82</v>
      </c>
      <c r="G58" s="102">
        <f t="shared" si="4"/>
        <v>137657.82</v>
      </c>
    </row>
    <row r="59" spans="1:7" ht="12.75">
      <c r="A59" s="164" t="s">
        <v>56</v>
      </c>
      <c r="B59" s="164"/>
      <c r="C59" s="164"/>
      <c r="D59" s="124">
        <f t="shared" si="5"/>
        <v>44257</v>
      </c>
      <c r="E59" s="100">
        <f t="shared" si="6"/>
        <v>128719</v>
      </c>
      <c r="F59" s="125">
        <f t="shared" si="7"/>
        <v>8938.82</v>
      </c>
      <c r="G59" s="102">
        <f t="shared" si="4"/>
        <v>137657.82</v>
      </c>
    </row>
    <row r="60" spans="1:7" ht="12.75">
      <c r="A60" s="164" t="s">
        <v>57</v>
      </c>
      <c r="B60" s="164"/>
      <c r="C60" s="164"/>
      <c r="D60" s="124">
        <f t="shared" si="5"/>
        <v>44288</v>
      </c>
      <c r="E60" s="100">
        <f t="shared" si="6"/>
        <v>128719</v>
      </c>
      <c r="F60" s="125">
        <f t="shared" si="7"/>
        <v>8938.82</v>
      </c>
      <c r="G60" s="102">
        <f t="shared" si="4"/>
        <v>137657.82</v>
      </c>
    </row>
    <row r="61" spans="1:7" ht="12.75">
      <c r="A61" s="164" t="s">
        <v>58</v>
      </c>
      <c r="B61" s="164"/>
      <c r="C61" s="164"/>
      <c r="D61" s="124">
        <f t="shared" si="5"/>
        <v>44318</v>
      </c>
      <c r="E61" s="100">
        <f t="shared" si="6"/>
        <v>128719</v>
      </c>
      <c r="F61" s="125">
        <f t="shared" si="7"/>
        <v>8938.82</v>
      </c>
      <c r="G61" s="102">
        <f t="shared" si="4"/>
        <v>137657.82</v>
      </c>
    </row>
    <row r="62" spans="1:7" ht="12.75">
      <c r="A62" s="164" t="s">
        <v>59</v>
      </c>
      <c r="B62" s="164"/>
      <c r="C62" s="164"/>
      <c r="D62" s="124">
        <f t="shared" si="5"/>
        <v>44349</v>
      </c>
      <c r="E62" s="100">
        <f t="shared" si="6"/>
        <v>128719</v>
      </c>
      <c r="F62" s="125">
        <f t="shared" si="7"/>
        <v>8938.82</v>
      </c>
      <c r="G62" s="102">
        <f t="shared" si="4"/>
        <v>137657.82</v>
      </c>
    </row>
    <row r="63" spans="1:7" ht="12.75">
      <c r="A63" s="164" t="s">
        <v>60</v>
      </c>
      <c r="B63" s="164"/>
      <c r="C63" s="164"/>
      <c r="D63" s="124">
        <f t="shared" si="5"/>
        <v>44379</v>
      </c>
      <c r="E63" s="100">
        <f t="shared" si="6"/>
        <v>128719</v>
      </c>
      <c r="F63" s="125">
        <f t="shared" si="7"/>
        <v>8938.82</v>
      </c>
      <c r="G63" s="102">
        <f t="shared" si="4"/>
        <v>137657.82</v>
      </c>
    </row>
    <row r="64" spans="1:7" ht="12.75">
      <c r="A64" s="164" t="s">
        <v>61</v>
      </c>
      <c r="B64" s="164"/>
      <c r="C64" s="164"/>
      <c r="D64" s="124">
        <f t="shared" si="5"/>
        <v>44410</v>
      </c>
      <c r="E64" s="100">
        <f t="shared" si="6"/>
        <v>128719</v>
      </c>
      <c r="F64" s="125">
        <f t="shared" si="7"/>
        <v>8938.82</v>
      </c>
      <c r="G64" s="102">
        <f t="shared" si="4"/>
        <v>137657.82</v>
      </c>
    </row>
    <row r="65" spans="1:7" ht="12.75">
      <c r="A65" s="164" t="s">
        <v>62</v>
      </c>
      <c r="B65" s="164"/>
      <c r="C65" s="164"/>
      <c r="D65" s="124">
        <f t="shared" si="5"/>
        <v>44441</v>
      </c>
      <c r="E65" s="100">
        <f t="shared" si="6"/>
        <v>128719</v>
      </c>
      <c r="F65" s="125">
        <f t="shared" si="7"/>
        <v>8938.82</v>
      </c>
      <c r="G65" s="102">
        <f t="shared" si="4"/>
        <v>137657.82</v>
      </c>
    </row>
    <row r="66" spans="1:7" ht="12.75">
      <c r="A66" s="164" t="s">
        <v>63</v>
      </c>
      <c r="B66" s="164"/>
      <c r="C66" s="164"/>
      <c r="D66" s="124">
        <f t="shared" si="5"/>
        <v>44471</v>
      </c>
      <c r="E66" s="100">
        <f t="shared" si="6"/>
        <v>128719</v>
      </c>
      <c r="F66" s="125">
        <f t="shared" si="7"/>
        <v>8938.82</v>
      </c>
      <c r="G66" s="102">
        <f t="shared" si="4"/>
        <v>137657.82</v>
      </c>
    </row>
    <row r="67" spans="1:7" ht="12.75">
      <c r="A67" s="164" t="s">
        <v>64</v>
      </c>
      <c r="B67" s="164"/>
      <c r="C67" s="164"/>
      <c r="D67" s="124">
        <f t="shared" si="5"/>
        <v>44502</v>
      </c>
      <c r="E67" s="100">
        <f t="shared" si="6"/>
        <v>128719</v>
      </c>
      <c r="F67" s="125">
        <f t="shared" si="7"/>
        <v>8938.82</v>
      </c>
      <c r="G67" s="102">
        <f t="shared" si="4"/>
        <v>137657.82</v>
      </c>
    </row>
    <row r="68" spans="1:7" ht="12.75">
      <c r="A68" s="164" t="s">
        <v>65</v>
      </c>
      <c r="B68" s="164"/>
      <c r="C68" s="164"/>
      <c r="D68" s="124">
        <f t="shared" si="5"/>
        <v>44532</v>
      </c>
      <c r="E68" s="100">
        <f t="shared" si="6"/>
        <v>128719</v>
      </c>
      <c r="F68" s="125">
        <f t="shared" si="7"/>
        <v>8938.82</v>
      </c>
      <c r="G68" s="102">
        <f t="shared" si="4"/>
        <v>137657.82</v>
      </c>
    </row>
    <row r="69" spans="1:7" ht="12.75">
      <c r="A69" s="164" t="s">
        <v>66</v>
      </c>
      <c r="B69" s="164"/>
      <c r="C69" s="164"/>
      <c r="D69" s="124">
        <f t="shared" si="5"/>
        <v>44563</v>
      </c>
      <c r="E69" s="100">
        <f t="shared" si="6"/>
        <v>128719</v>
      </c>
      <c r="F69" s="125">
        <f t="shared" si="7"/>
        <v>8938.82</v>
      </c>
      <c r="G69" s="102">
        <f t="shared" si="4"/>
        <v>137657.82</v>
      </c>
    </row>
    <row r="70" spans="1:7" ht="12.75">
      <c r="A70" s="164" t="s">
        <v>67</v>
      </c>
      <c r="B70" s="164"/>
      <c r="C70" s="164"/>
      <c r="D70" s="124">
        <f t="shared" si="5"/>
        <v>44594</v>
      </c>
      <c r="E70" s="100">
        <f t="shared" si="6"/>
        <v>128719</v>
      </c>
      <c r="F70" s="125">
        <f t="shared" si="7"/>
        <v>8938.82</v>
      </c>
      <c r="G70" s="102">
        <f t="shared" si="4"/>
        <v>137657.82</v>
      </c>
    </row>
    <row r="71" spans="1:7" ht="12.75">
      <c r="A71" s="164" t="s">
        <v>68</v>
      </c>
      <c r="B71" s="164"/>
      <c r="C71" s="164"/>
      <c r="D71" s="124">
        <f t="shared" si="5"/>
        <v>44622</v>
      </c>
      <c r="E71" s="100">
        <f t="shared" si="6"/>
        <v>128719</v>
      </c>
      <c r="F71" s="125">
        <f t="shared" si="7"/>
        <v>8938.82</v>
      </c>
      <c r="G71" s="102">
        <f t="shared" si="4"/>
        <v>137657.82</v>
      </c>
    </row>
    <row r="72" spans="1:7" ht="12.75">
      <c r="A72" s="164" t="s">
        <v>69</v>
      </c>
      <c r="B72" s="164"/>
      <c r="C72" s="164"/>
      <c r="D72" s="124">
        <f t="shared" si="5"/>
        <v>44653</v>
      </c>
      <c r="E72" s="100">
        <f t="shared" si="6"/>
        <v>128719</v>
      </c>
      <c r="F72" s="125">
        <f t="shared" si="7"/>
        <v>8938.82</v>
      </c>
      <c r="G72" s="102">
        <f t="shared" si="4"/>
        <v>137657.82</v>
      </c>
    </row>
    <row r="73" spans="1:7" ht="12.75">
      <c r="A73" s="164" t="s">
        <v>70</v>
      </c>
      <c r="B73" s="164"/>
      <c r="C73" s="164"/>
      <c r="D73" s="124">
        <f t="shared" si="5"/>
        <v>44683</v>
      </c>
      <c r="E73" s="100">
        <f t="shared" si="6"/>
        <v>128719</v>
      </c>
      <c r="F73" s="125">
        <f t="shared" si="7"/>
        <v>8938.82</v>
      </c>
      <c r="G73" s="102">
        <f t="shared" si="4"/>
        <v>137657.82</v>
      </c>
    </row>
    <row r="74" spans="1:7" ht="12.75">
      <c r="A74" s="164" t="s">
        <v>71</v>
      </c>
      <c r="B74" s="164"/>
      <c r="C74" s="164"/>
      <c r="D74" s="124">
        <f t="shared" si="5"/>
        <v>44714</v>
      </c>
      <c r="E74" s="100">
        <f t="shared" si="6"/>
        <v>128719</v>
      </c>
      <c r="F74" s="125">
        <f t="shared" si="7"/>
        <v>8938.82</v>
      </c>
      <c r="G74" s="102">
        <f t="shared" si="4"/>
        <v>137657.82</v>
      </c>
    </row>
    <row r="75" spans="1:7" ht="12.75">
      <c r="A75" s="164" t="s">
        <v>72</v>
      </c>
      <c r="B75" s="164"/>
      <c r="C75" s="164"/>
      <c r="D75" s="124">
        <f t="shared" si="5"/>
        <v>44744</v>
      </c>
      <c r="E75" s="100">
        <f t="shared" si="6"/>
        <v>128719</v>
      </c>
      <c r="F75" s="125">
        <f t="shared" si="7"/>
        <v>8938.82</v>
      </c>
      <c r="G75" s="102">
        <f t="shared" si="4"/>
        <v>137657.82</v>
      </c>
    </row>
    <row r="76" spans="1:7" ht="12.75">
      <c r="A76" s="164" t="s">
        <v>73</v>
      </c>
      <c r="B76" s="164"/>
      <c r="C76" s="164"/>
      <c r="D76" s="124">
        <f t="shared" si="5"/>
        <v>44775</v>
      </c>
      <c r="E76" s="100">
        <f t="shared" si="6"/>
        <v>128719</v>
      </c>
      <c r="F76" s="125">
        <f t="shared" si="7"/>
        <v>8938.82</v>
      </c>
      <c r="G76" s="102">
        <f t="shared" si="4"/>
        <v>137657.82</v>
      </c>
    </row>
    <row r="77" spans="1:7" ht="12.75">
      <c r="A77" s="164" t="s">
        <v>74</v>
      </c>
      <c r="B77" s="164"/>
      <c r="C77" s="164"/>
      <c r="D77" s="124">
        <f t="shared" si="5"/>
        <v>44806</v>
      </c>
      <c r="E77" s="100">
        <f t="shared" si="6"/>
        <v>128719</v>
      </c>
      <c r="F77" s="125">
        <f t="shared" si="7"/>
        <v>8938.82</v>
      </c>
      <c r="G77" s="102">
        <f t="shared" si="4"/>
        <v>137657.82</v>
      </c>
    </row>
    <row r="78" spans="1:7" ht="12.75">
      <c r="A78" s="164" t="s">
        <v>75</v>
      </c>
      <c r="B78" s="164"/>
      <c r="C78" s="164"/>
      <c r="D78" s="124">
        <f t="shared" si="5"/>
        <v>44836</v>
      </c>
      <c r="E78" s="100">
        <f t="shared" si="6"/>
        <v>128719</v>
      </c>
      <c r="F78" s="125">
        <f t="shared" si="7"/>
        <v>8938.82</v>
      </c>
      <c r="G78" s="102">
        <f t="shared" si="4"/>
        <v>137657.82</v>
      </c>
    </row>
    <row r="79" spans="1:7" ht="12.75">
      <c r="A79" s="164" t="s">
        <v>76</v>
      </c>
      <c r="B79" s="164"/>
      <c r="C79" s="164"/>
      <c r="D79" s="124">
        <f t="shared" si="5"/>
        <v>44867</v>
      </c>
      <c r="E79" s="100">
        <f t="shared" si="6"/>
        <v>128718.99870000035</v>
      </c>
      <c r="F79" s="125">
        <f t="shared" si="7"/>
        <v>8938.799999999988</v>
      </c>
      <c r="G79" s="102">
        <f t="shared" si="4"/>
        <v>137657.79870000033</v>
      </c>
    </row>
    <row r="80" spans="1:7" ht="12.75" hidden="1">
      <c r="A80" s="164" t="s">
        <v>129</v>
      </c>
      <c r="B80" s="164"/>
      <c r="C80" s="164"/>
      <c r="D80" s="124" t="str">
        <f t="shared" si="5"/>
        <v> </v>
      </c>
      <c r="E80" s="100" t="str">
        <f t="shared" si="6"/>
        <v> </v>
      </c>
      <c r="F80" s="125" t="str">
        <f t="shared" si="7"/>
        <v> </v>
      </c>
      <c r="G80" s="102" t="str">
        <f aca="true" t="shared" si="8" ref="G80:G85">IF(NoDPSchedule&lt;VALUE(LEFT(A80,2))," ",SUM(E80:F80))</f>
        <v> </v>
      </c>
    </row>
    <row r="81" spans="1:7" ht="12.75" hidden="1">
      <c r="A81" s="164" t="s">
        <v>130</v>
      </c>
      <c r="B81" s="164"/>
      <c r="C81" s="164"/>
      <c r="D81" s="124" t="str">
        <f t="shared" si="5"/>
        <v> </v>
      </c>
      <c r="E81" s="100" t="str">
        <f t="shared" si="6"/>
        <v> </v>
      </c>
      <c r="F81" s="125" t="str">
        <f t="shared" si="7"/>
        <v> </v>
      </c>
      <c r="G81" s="102" t="str">
        <f t="shared" si="8"/>
        <v> </v>
      </c>
    </row>
    <row r="82" spans="1:7" ht="12.75" hidden="1">
      <c r="A82" s="164" t="s">
        <v>131</v>
      </c>
      <c r="B82" s="164"/>
      <c r="C82" s="164"/>
      <c r="D82" s="124" t="str">
        <f t="shared" si="5"/>
        <v> </v>
      </c>
      <c r="E82" s="100" t="str">
        <f t="shared" si="6"/>
        <v> </v>
      </c>
      <c r="F82" s="125" t="str">
        <f t="shared" si="7"/>
        <v> </v>
      </c>
      <c r="G82" s="102" t="str">
        <f t="shared" si="8"/>
        <v> </v>
      </c>
    </row>
    <row r="83" spans="1:7" ht="12.75" hidden="1">
      <c r="A83" s="164" t="s">
        <v>132</v>
      </c>
      <c r="B83" s="164"/>
      <c r="C83" s="164"/>
      <c r="D83" s="124" t="str">
        <f t="shared" si="5"/>
        <v> </v>
      </c>
      <c r="E83" s="100" t="str">
        <f t="shared" si="6"/>
        <v> </v>
      </c>
      <c r="F83" s="125" t="str">
        <f t="shared" si="7"/>
        <v> </v>
      </c>
      <c r="G83" s="102" t="str">
        <f t="shared" si="8"/>
        <v> </v>
      </c>
    </row>
    <row r="84" spans="1:7" ht="12.75" hidden="1">
      <c r="A84" s="164" t="s">
        <v>133</v>
      </c>
      <c r="B84" s="164"/>
      <c r="C84" s="164"/>
      <c r="D84" s="124" t="str">
        <f t="shared" si="5"/>
        <v> </v>
      </c>
      <c r="E84" s="100" t="str">
        <f t="shared" si="6"/>
        <v> </v>
      </c>
      <c r="F84" s="125" t="str">
        <f t="shared" si="7"/>
        <v> </v>
      </c>
      <c r="G84" s="102" t="str">
        <f t="shared" si="8"/>
        <v> </v>
      </c>
    </row>
    <row r="85" spans="1:7" ht="12.75" hidden="1">
      <c r="A85" s="164" t="s">
        <v>134</v>
      </c>
      <c r="B85" s="164"/>
      <c r="C85" s="164"/>
      <c r="D85" s="124" t="str">
        <f t="shared" si="5"/>
        <v> </v>
      </c>
      <c r="E85" s="100" t="str">
        <f t="shared" si="6"/>
        <v> </v>
      </c>
      <c r="F85" s="125" t="str">
        <f t="shared" si="7"/>
        <v> </v>
      </c>
      <c r="G85" s="102" t="str">
        <f t="shared" si="8"/>
        <v> </v>
      </c>
    </row>
    <row r="86" spans="1:7" ht="12.75" hidden="1">
      <c r="A86" s="164" t="s">
        <v>135</v>
      </c>
      <c r="B86" s="164"/>
      <c r="C86" s="164"/>
      <c r="D86" s="124" t="str">
        <f t="shared" si="5"/>
        <v> </v>
      </c>
      <c r="E86" s="100" t="str">
        <f t="shared" si="6"/>
        <v> </v>
      </c>
      <c r="F86" s="125" t="str">
        <f t="shared" si="7"/>
        <v> </v>
      </c>
      <c r="G86" s="102" t="str">
        <f aca="true" t="shared" si="9" ref="G86:G95">IF(NoDPSchedule&lt;VALUE(LEFT(A86,2))," ",SUM(E86:F86))</f>
        <v> </v>
      </c>
    </row>
    <row r="87" spans="1:7" ht="12.75" hidden="1">
      <c r="A87" s="164" t="s">
        <v>136</v>
      </c>
      <c r="B87" s="164"/>
      <c r="C87" s="164"/>
      <c r="D87" s="124" t="str">
        <f t="shared" si="5"/>
        <v> </v>
      </c>
      <c r="E87" s="100" t="str">
        <f t="shared" si="6"/>
        <v> </v>
      </c>
      <c r="F87" s="125" t="str">
        <f t="shared" si="7"/>
        <v> </v>
      </c>
      <c r="G87" s="102" t="str">
        <f t="shared" si="9"/>
        <v> </v>
      </c>
    </row>
    <row r="88" spans="1:7" ht="12.75" hidden="1">
      <c r="A88" s="164" t="s">
        <v>137</v>
      </c>
      <c r="B88" s="164"/>
      <c r="C88" s="164"/>
      <c r="D88" s="124" t="str">
        <f t="shared" si="5"/>
        <v> </v>
      </c>
      <c r="E88" s="100" t="str">
        <f t="shared" si="6"/>
        <v> </v>
      </c>
      <c r="F88" s="125" t="str">
        <f t="shared" si="7"/>
        <v> </v>
      </c>
      <c r="G88" s="102" t="str">
        <f t="shared" si="9"/>
        <v> </v>
      </c>
    </row>
    <row r="89" spans="1:7" ht="12.75" hidden="1">
      <c r="A89" s="164" t="s">
        <v>138</v>
      </c>
      <c r="B89" s="164"/>
      <c r="C89" s="164"/>
      <c r="D89" s="124" t="str">
        <f t="shared" si="5"/>
        <v> </v>
      </c>
      <c r="E89" s="100" t="str">
        <f t="shared" si="6"/>
        <v> </v>
      </c>
      <c r="F89" s="125" t="str">
        <f t="shared" si="7"/>
        <v> </v>
      </c>
      <c r="G89" s="102" t="str">
        <f t="shared" si="9"/>
        <v> </v>
      </c>
    </row>
    <row r="90" spans="1:7" ht="12.75" hidden="1">
      <c r="A90" s="164" t="s">
        <v>139</v>
      </c>
      <c r="B90" s="164"/>
      <c r="C90" s="164"/>
      <c r="D90" s="124" t="str">
        <f t="shared" si="5"/>
        <v> </v>
      </c>
      <c r="E90" s="100" t="str">
        <f t="shared" si="6"/>
        <v> </v>
      </c>
      <c r="F90" s="125" t="str">
        <f t="shared" si="7"/>
        <v> </v>
      </c>
      <c r="G90" s="102" t="str">
        <f t="shared" si="9"/>
        <v> </v>
      </c>
    </row>
    <row r="91" spans="1:7" ht="12.75" hidden="1">
      <c r="A91" s="164" t="s">
        <v>140</v>
      </c>
      <c r="B91" s="164"/>
      <c r="C91" s="164"/>
      <c r="D91" s="124" t="str">
        <f t="shared" si="5"/>
        <v> </v>
      </c>
      <c r="E91" s="100" t="str">
        <f t="shared" si="6"/>
        <v> </v>
      </c>
      <c r="F91" s="125" t="str">
        <f t="shared" si="7"/>
        <v> </v>
      </c>
      <c r="G91" s="102" t="str">
        <f t="shared" si="9"/>
        <v> </v>
      </c>
    </row>
    <row r="92" spans="1:7" ht="12.75" hidden="1">
      <c r="A92" s="164" t="s">
        <v>141</v>
      </c>
      <c r="B92" s="164"/>
      <c r="C92" s="164"/>
      <c r="D92" s="124" t="str">
        <f t="shared" si="5"/>
        <v> </v>
      </c>
      <c r="E92" s="100" t="str">
        <f t="shared" si="6"/>
        <v> </v>
      </c>
      <c r="F92" s="125" t="str">
        <f t="shared" si="7"/>
        <v> </v>
      </c>
      <c r="G92" s="102" t="str">
        <f t="shared" si="9"/>
        <v> </v>
      </c>
    </row>
    <row r="93" spans="1:7" ht="12.75" hidden="1">
      <c r="A93" s="164" t="s">
        <v>142</v>
      </c>
      <c r="B93" s="164"/>
      <c r="C93" s="164"/>
      <c r="D93" s="124" t="str">
        <f t="shared" si="5"/>
        <v> </v>
      </c>
      <c r="E93" s="100" t="str">
        <f t="shared" si="6"/>
        <v> </v>
      </c>
      <c r="F93" s="125" t="str">
        <f t="shared" si="7"/>
        <v> </v>
      </c>
      <c r="G93" s="102" t="str">
        <f t="shared" si="9"/>
        <v> </v>
      </c>
    </row>
    <row r="94" spans="1:7" ht="12.75" hidden="1">
      <c r="A94" s="164" t="s">
        <v>143</v>
      </c>
      <c r="B94" s="164"/>
      <c r="C94" s="164"/>
      <c r="D94" s="124" t="str">
        <f t="shared" si="5"/>
        <v> </v>
      </c>
      <c r="E94" s="100" t="str">
        <f t="shared" si="6"/>
        <v> </v>
      </c>
      <c r="F94" s="125" t="str">
        <f t="shared" si="7"/>
        <v> </v>
      </c>
      <c r="G94" s="102" t="str">
        <f t="shared" si="9"/>
        <v> </v>
      </c>
    </row>
    <row r="95" spans="1:7" ht="12.75" hidden="1">
      <c r="A95" s="164" t="s">
        <v>144</v>
      </c>
      <c r="B95" s="164"/>
      <c r="C95" s="164"/>
      <c r="D95" s="124" t="str">
        <f t="shared" si="5"/>
        <v> </v>
      </c>
      <c r="E95" s="100" t="str">
        <f t="shared" si="6"/>
        <v> </v>
      </c>
      <c r="F95" s="125" t="str">
        <f t="shared" si="7"/>
        <v> </v>
      </c>
      <c r="G95" s="102" t="str">
        <f t="shared" si="9"/>
        <v> </v>
      </c>
    </row>
    <row r="97" spans="1:4" ht="12.75">
      <c r="A97" s="113" t="s">
        <v>81</v>
      </c>
      <c r="B97" s="126"/>
      <c r="C97" s="126"/>
      <c r="D97" s="126"/>
    </row>
    <row r="98" spans="1:7" ht="12.75">
      <c r="A98" s="165" t="s">
        <v>119</v>
      </c>
      <c r="B98" s="165"/>
      <c r="C98" s="165"/>
      <c r="D98" s="165"/>
      <c r="E98" s="165"/>
      <c r="F98" s="165"/>
      <c r="G98" s="165"/>
    </row>
    <row r="99" spans="1:4" ht="12.75">
      <c r="A99" s="126" t="s">
        <v>82</v>
      </c>
      <c r="B99" s="126"/>
      <c r="C99" s="126"/>
      <c r="D99" s="126"/>
    </row>
    <row r="100" spans="1:4" ht="12.75">
      <c r="A100" s="126" t="s">
        <v>83</v>
      </c>
      <c r="B100" s="126"/>
      <c r="C100" s="126"/>
      <c r="D100" s="126"/>
    </row>
    <row r="101" spans="1:4" ht="12.75">
      <c r="A101" s="126" t="s">
        <v>84</v>
      </c>
      <c r="B101" s="126"/>
      <c r="C101" s="126"/>
      <c r="D101" s="126"/>
    </row>
    <row r="102" spans="1:4" ht="12.75">
      <c r="A102" s="127" t="s">
        <v>85</v>
      </c>
      <c r="B102" s="126"/>
      <c r="C102" s="126"/>
      <c r="D102" s="126"/>
    </row>
    <row r="103" spans="1:4" ht="12.75">
      <c r="A103" s="127" t="s">
        <v>86</v>
      </c>
      <c r="B103" s="126"/>
      <c r="C103" s="126"/>
      <c r="D103" s="126"/>
    </row>
    <row r="104" spans="1:4" ht="12.75">
      <c r="A104" s="127" t="s">
        <v>87</v>
      </c>
      <c r="B104" s="126"/>
      <c r="C104" s="126"/>
      <c r="D104" s="126"/>
    </row>
    <row r="105" spans="1:4" ht="12.75">
      <c r="A105" s="127" t="s">
        <v>88</v>
      </c>
      <c r="B105" s="126"/>
      <c r="C105" s="126"/>
      <c r="D105" s="126"/>
    </row>
    <row r="106" spans="1:4" ht="12.75">
      <c r="A106" s="127" t="s">
        <v>89</v>
      </c>
      <c r="B106" s="126"/>
      <c r="C106" s="126"/>
      <c r="D106" s="126"/>
    </row>
    <row r="107" spans="1:7" ht="12.75">
      <c r="A107" s="165" t="s">
        <v>145</v>
      </c>
      <c r="B107" s="165"/>
      <c r="C107" s="165"/>
      <c r="D107" s="165"/>
      <c r="E107" s="165"/>
      <c r="F107" s="165"/>
      <c r="G107" s="165"/>
    </row>
  </sheetData>
  <sheetProtection/>
  <mergeCells count="60">
    <mergeCell ref="A92:C92"/>
    <mergeCell ref="A93:C93"/>
    <mergeCell ref="A94:C94"/>
    <mergeCell ref="A95:C95"/>
    <mergeCell ref="A98:G98"/>
    <mergeCell ref="A107:G107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B1:F1"/>
    <mergeCell ref="B2:F2"/>
    <mergeCell ref="A3:G3"/>
    <mergeCell ref="F6:G6"/>
    <mergeCell ref="F7:G7"/>
    <mergeCell ref="B43:C43"/>
  </mergeCells>
  <conditionalFormatting sqref="A45:C52">
    <cfRule type="expression" priority="1" dxfId="41" stopIfTrue="1">
      <formula>VALUE(NoDPSchedule)&lt;VALUE(LEFT(A45,1))</formula>
    </cfRule>
  </conditionalFormatting>
  <conditionalFormatting sqref="A53:C95">
    <cfRule type="expression" priority="2" dxfId="41" stopIfTrue="1">
      <formula>VALUE(NoDPSchedule)&lt;VALUE(LEFT(A53,2))</formula>
    </cfRule>
  </conditionalFormatting>
  <conditionalFormatting sqref="G11 G25">
    <cfRule type="expression" priority="3" dxfId="41" stopIfTrue="1">
      <formula>G11=0</formula>
    </cfRule>
  </conditionalFormatting>
  <conditionalFormatting sqref="B11">
    <cfRule type="expression" priority="4" dxfId="41" stopIfTrue="1">
      <formula>G11=0</formula>
    </cfRule>
  </conditionalFormatting>
  <conditionalFormatting sqref="B25">
    <cfRule type="expression" priority="5" dxfId="41" stopIfTrue="1">
      <formula>G25=0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00"/>
  <sheetViews>
    <sheetView zoomScalePageLayoutView="0" workbookViewId="0" topLeftCell="A1">
      <selection activeCell="A7" sqref="A7:G10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21.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7" ht="14.25" customHeight="1" thickTop="1">
      <c r="A1" s="2"/>
      <c r="B1" s="132" t="s">
        <v>0</v>
      </c>
      <c r="C1" s="132"/>
      <c r="D1" s="132"/>
      <c r="E1" s="132"/>
      <c r="F1" s="132"/>
      <c r="G1" s="3"/>
    </row>
    <row r="2" spans="1:7" ht="14.25" customHeight="1">
      <c r="A2" s="4"/>
      <c r="B2" s="133" t="s">
        <v>1</v>
      </c>
      <c r="C2" s="133"/>
      <c r="D2" s="133"/>
      <c r="E2" s="133"/>
      <c r="F2" s="133"/>
      <c r="G2" s="5"/>
    </row>
    <row r="3" spans="1:7" ht="30" customHeight="1">
      <c r="A3" s="134" t="s">
        <v>2</v>
      </c>
      <c r="B3" s="135"/>
      <c r="C3" s="135"/>
      <c r="D3" s="135"/>
      <c r="E3" s="135"/>
      <c r="F3" s="135"/>
      <c r="G3" s="136"/>
    </row>
    <row r="4" spans="1:7" ht="15" customHeight="1" thickBot="1">
      <c r="A4" s="6">
        <f>IF(A47&lt;=12,12,A47)</f>
        <v>24</v>
      </c>
      <c r="B4" s="7"/>
      <c r="C4" s="7"/>
      <c r="D4" s="8" t="str">
        <f>IF(A47&gt;G5,"TERM IS SUBJECT FOR APPROVAL","SAMPLE COMPUTATION ONLY")</f>
        <v>SAMPLE COMPUTATION ONLY</v>
      </c>
      <c r="E4" s="7"/>
      <c r="F4" s="7"/>
      <c r="G4" s="9"/>
    </row>
    <row r="5" ht="13.5" customHeight="1" thickTop="1">
      <c r="G5" s="10">
        <v>36</v>
      </c>
    </row>
    <row r="6" spans="1:7" ht="12.75">
      <c r="A6" s="11" t="s">
        <v>3</v>
      </c>
      <c r="B6" s="11" t="s">
        <v>4</v>
      </c>
      <c r="C6" s="11" t="s">
        <v>5</v>
      </c>
      <c r="D6" s="11" t="s">
        <v>6</v>
      </c>
      <c r="E6" s="11"/>
      <c r="F6" s="137" t="s">
        <v>7</v>
      </c>
      <c r="G6" s="137"/>
    </row>
    <row r="7" spans="1:7" ht="12.75">
      <c r="A7" s="12" t="s">
        <v>8</v>
      </c>
      <c r="B7" s="12">
        <v>528</v>
      </c>
      <c r="C7" s="12">
        <v>5</v>
      </c>
      <c r="D7" s="12">
        <v>51.7</v>
      </c>
      <c r="E7" s="12"/>
      <c r="F7" s="138" t="s">
        <v>121</v>
      </c>
      <c r="G7" s="138"/>
    </row>
    <row r="10" spans="1:7" ht="12.75">
      <c r="A10" s="13" t="s">
        <v>11</v>
      </c>
      <c r="B10" s="13"/>
      <c r="C10" s="14"/>
      <c r="D10" s="15"/>
      <c r="E10" s="15"/>
      <c r="F10" s="16" t="s">
        <v>12</v>
      </c>
      <c r="G10" s="17">
        <v>10414000</v>
      </c>
    </row>
    <row r="11" spans="1:7" ht="12.75">
      <c r="A11" s="1" t="s">
        <v>13</v>
      </c>
      <c r="B11" s="1" t="s">
        <v>14</v>
      </c>
      <c r="C11" s="18"/>
      <c r="F11" s="19"/>
      <c r="G11" s="20">
        <f>ROUND(IF(ISERROR(FIND("PARKING",Model,1)),IF(SellingPrice&gt;3199200,(G10-(G10/1.12)),0),(G10-(G10/1.12))),2)</f>
        <v>1115785.71</v>
      </c>
    </row>
    <row r="12" spans="1:10" ht="12.75">
      <c r="A12" s="21">
        <v>10</v>
      </c>
      <c r="B12" s="1" t="str">
        <f>CONCATENATE(A12,"% Discount on ",A39,"% SFDP")</f>
        <v>10% Discount on 10% SFDP</v>
      </c>
      <c r="F12" s="19"/>
      <c r="G12" s="22">
        <f>((G10-G11)-Discount2Value)*(PercentageDiscount/100)*(SpotDownpayment/100)</f>
        <v>92982.1429</v>
      </c>
      <c r="I12" s="22"/>
      <c r="J12" s="22"/>
    </row>
    <row r="13" spans="2:10" ht="12.75" hidden="1">
      <c r="B13" s="1" t="s">
        <v>15</v>
      </c>
      <c r="G13" s="22">
        <v>0</v>
      </c>
      <c r="I13" s="22"/>
      <c r="J13" s="22"/>
    </row>
    <row r="14" spans="2:10" ht="12.75" hidden="1">
      <c r="B14" s="1" t="s">
        <v>16</v>
      </c>
      <c r="G14" s="22">
        <v>0</v>
      </c>
      <c r="I14" s="22"/>
      <c r="J14" s="22"/>
    </row>
    <row r="15" spans="2:9" ht="12.75" hidden="1">
      <c r="B15" s="1" t="s">
        <v>17</v>
      </c>
      <c r="G15" s="22">
        <v>0</v>
      </c>
      <c r="I15" s="22"/>
    </row>
    <row r="16" spans="2:9" ht="12.75" hidden="1">
      <c r="B16" s="1" t="s">
        <v>18</v>
      </c>
      <c r="G16" s="22">
        <v>0</v>
      </c>
      <c r="I16" s="22"/>
    </row>
    <row r="17" spans="2:9" ht="12.75" hidden="1">
      <c r="B17" s="1" t="s">
        <v>19</v>
      </c>
      <c r="G17" s="22">
        <v>0</v>
      </c>
      <c r="I17" s="22"/>
    </row>
    <row r="18" spans="2:10" ht="12.75" hidden="1">
      <c r="B18" s="1" t="s">
        <v>20</v>
      </c>
      <c r="G18" s="22">
        <v>0</v>
      </c>
      <c r="H18" s="22"/>
      <c r="I18" s="22"/>
      <c r="J18" s="22"/>
    </row>
    <row r="19" spans="2:10" ht="12.75" hidden="1">
      <c r="B19" s="1" t="s">
        <v>21</v>
      </c>
      <c r="G19" s="22">
        <v>0</v>
      </c>
      <c r="J19" s="22"/>
    </row>
    <row r="20" spans="2:10" ht="12.75" hidden="1">
      <c r="B20" s="1" t="s">
        <v>22</v>
      </c>
      <c r="G20" s="22">
        <v>0</v>
      </c>
      <c r="J20" s="22"/>
    </row>
    <row r="21" spans="2:10" ht="12.75" hidden="1">
      <c r="B21" s="1" t="s">
        <v>23</v>
      </c>
      <c r="G21" s="22">
        <v>0</v>
      </c>
      <c r="J21" s="22"/>
    </row>
    <row r="22" spans="2:10" ht="12.75" hidden="1">
      <c r="B22" s="1" t="s">
        <v>24</v>
      </c>
      <c r="G22" s="22">
        <v>0</v>
      </c>
      <c r="J22" s="22"/>
    </row>
    <row r="23" spans="6:10" ht="13.5" customHeight="1" thickBot="1">
      <c r="F23" s="19"/>
      <c r="G23" s="23"/>
      <c r="J23" s="22"/>
    </row>
    <row r="24" spans="1:7" ht="13.5" customHeight="1" thickTop="1">
      <c r="A24" s="13" t="s">
        <v>25</v>
      </c>
      <c r="B24" s="24"/>
      <c r="C24" s="15"/>
      <c r="D24" s="15"/>
      <c r="E24" s="15"/>
      <c r="F24" s="16" t="s">
        <v>12</v>
      </c>
      <c r="G24" s="25">
        <f>(SellingPrice-G11)-SUM(G12:G22)</f>
        <v>9205232.1471</v>
      </c>
    </row>
    <row r="25" spans="1:9" ht="12.75">
      <c r="A25" s="1" t="s">
        <v>26</v>
      </c>
      <c r="B25" s="1" t="s">
        <v>14</v>
      </c>
      <c r="G25" s="22">
        <f>ROUND(IF(ISERROR(FIND("PARKING",Model,1)),IF(G24&gt;3199200,G24*12%,0),G24*12%),2)</f>
        <v>1104627.86</v>
      </c>
      <c r="I25" s="22"/>
    </row>
    <row r="26" spans="1:7" ht="12.75" hidden="1">
      <c r="A26" s="21">
        <v>7</v>
      </c>
      <c r="B26" s="1" t="s">
        <v>27</v>
      </c>
      <c r="G26" s="22">
        <f>ROUND(G24*(A26/100),2)</f>
        <v>644366.25</v>
      </c>
    </row>
    <row r="27" spans="1:7" ht="12.75" hidden="1">
      <c r="A27" s="21"/>
      <c r="B27" s="1" t="s">
        <v>28</v>
      </c>
      <c r="F27" s="21">
        <f>IF(G27&gt;50000,50000,G27)</f>
        <v>0</v>
      </c>
      <c r="G27" s="22">
        <v>0</v>
      </c>
    </row>
    <row r="28" spans="1:7" ht="12.75" hidden="1">
      <c r="A28" s="21"/>
      <c r="B28" s="1" t="s">
        <v>29</v>
      </c>
      <c r="G28" s="22">
        <v>0</v>
      </c>
    </row>
    <row r="29" spans="1:7" ht="13.5" customHeight="1" thickBot="1">
      <c r="A29" s="21"/>
      <c r="B29" s="1" t="s">
        <v>27</v>
      </c>
      <c r="G29" s="22">
        <f>ROUND(SUM(G26,G28,F27),2)</f>
        <v>644366.25</v>
      </c>
    </row>
    <row r="30" spans="1:7" ht="13.5" customHeight="1" thickTop="1">
      <c r="A30" s="13" t="s">
        <v>30</v>
      </c>
      <c r="B30" s="15"/>
      <c r="C30" s="15"/>
      <c r="D30" s="15"/>
      <c r="E30" s="15"/>
      <c r="F30" s="16" t="s">
        <v>12</v>
      </c>
      <c r="G30" s="25">
        <f>G24+SUM(G25,G29)</f>
        <v>10954226.2571</v>
      </c>
    </row>
    <row r="32" ht="12.75">
      <c r="A32" s="26" t="s">
        <v>31</v>
      </c>
    </row>
    <row r="33" spans="1:7" ht="12.75">
      <c r="A33" s="27">
        <v>20</v>
      </c>
      <c r="B33" s="1" t="str">
        <f>CONCATENATE("Downpayment ("&amp;A33&amp;"% of Selling Price)")</f>
        <v>Downpayment (20% of Selling Price)</v>
      </c>
      <c r="G33" s="22">
        <f>ROUND((G24+G25)*(A33/100),2)</f>
        <v>2061972</v>
      </c>
    </row>
    <row r="34" spans="1:7" ht="13.5" customHeight="1" thickBot="1">
      <c r="A34" s="26"/>
      <c r="B34" s="1" t="s">
        <v>32</v>
      </c>
      <c r="G34" s="22">
        <f>ROUND(G29*(A33/100),2)</f>
        <v>128873.25</v>
      </c>
    </row>
    <row r="35" spans="1:7" ht="13.5" customHeight="1" thickTop="1">
      <c r="A35" s="13" t="s">
        <v>33</v>
      </c>
      <c r="B35" s="15"/>
      <c r="C35" s="15"/>
      <c r="D35" s="15"/>
      <c r="E35" s="15"/>
      <c r="F35" s="16" t="s">
        <v>12</v>
      </c>
      <c r="G35" s="25">
        <f>SUM(G33:G34)</f>
        <v>2190845.25</v>
      </c>
    </row>
    <row r="36" spans="1:7" ht="13.5" customHeight="1" thickBot="1">
      <c r="A36" s="1" t="s">
        <v>13</v>
      </c>
      <c r="B36" s="1" t="s">
        <v>34</v>
      </c>
      <c r="F36" s="28">
        <f ca="1">NOW()</f>
        <v>43775.44727094907</v>
      </c>
      <c r="G36" s="22">
        <v>20000</v>
      </c>
    </row>
    <row r="37" spans="1:7" ht="13.5" customHeight="1" thickTop="1">
      <c r="A37" s="13" t="s">
        <v>35</v>
      </c>
      <c r="B37" s="15"/>
      <c r="C37" s="15"/>
      <c r="D37" s="15"/>
      <c r="E37" s="29"/>
      <c r="F37" s="16" t="s">
        <v>12</v>
      </c>
      <c r="G37" s="25">
        <f>G35-G36</f>
        <v>2170845.25</v>
      </c>
    </row>
    <row r="39" spans="1:10" ht="12.75">
      <c r="A39" s="21">
        <v>10</v>
      </c>
      <c r="B39" s="1" t="str">
        <f>CONCATENATE("Spot Downpayment ("&amp;A39&amp;"% of Selling Price)")</f>
        <v>Spot Downpayment (10% of Selling Price)</v>
      </c>
      <c r="E39" s="30"/>
      <c r="F39" s="28"/>
      <c r="G39" s="22">
        <f>ROUND((SUM(G24:G25)*(A39/100))-G36,2)</f>
        <v>1010986</v>
      </c>
      <c r="H39" s="22"/>
      <c r="I39" s="22"/>
      <c r="J39" s="31"/>
    </row>
    <row r="40" spans="2:10" ht="13.5" customHeight="1" thickBot="1">
      <c r="B40" s="1" t="s">
        <v>27</v>
      </c>
      <c r="E40" s="30"/>
      <c r="F40" s="28"/>
      <c r="G40" s="22">
        <f>ROUND(G29*(A39/100),2)</f>
        <v>64436.63</v>
      </c>
      <c r="J40" s="22"/>
    </row>
    <row r="41" spans="2:7" ht="13.5" customHeight="1" thickTop="1">
      <c r="B41" s="32" t="s">
        <v>36</v>
      </c>
      <c r="E41" s="30"/>
      <c r="F41" s="28">
        <f>ReservationDate+19</f>
        <v>43794.44727094907</v>
      </c>
      <c r="G41" s="33">
        <f>SUM(G39:G40)</f>
        <v>1075422.63</v>
      </c>
    </row>
    <row r="42" spans="2:7" ht="12.75">
      <c r="B42" s="34"/>
      <c r="E42" s="30"/>
      <c r="F42" s="28"/>
      <c r="G42" s="35"/>
    </row>
    <row r="43" spans="1:7" ht="12.75">
      <c r="A43" s="21">
        <f>A33-A39</f>
        <v>10</v>
      </c>
      <c r="B43" s="36" t="str">
        <f>CONCATENATE("Streched Downpayment ("&amp;A43&amp;"% of Selling Price)")</f>
        <v>Streched Downpayment (10% of Selling Price)</v>
      </c>
      <c r="E43" s="30"/>
      <c r="F43" s="28"/>
      <c r="G43" s="22">
        <f>G33-G39-ReservationFee</f>
        <v>1030986</v>
      </c>
    </row>
    <row r="44" spans="2:7" ht="13.5" customHeight="1" thickBot="1">
      <c r="B44" s="36" t="s">
        <v>27</v>
      </c>
      <c r="E44" s="30"/>
      <c r="F44" s="28"/>
      <c r="G44" s="22">
        <f>SUM(G34:G34)-G40</f>
        <v>64436.62</v>
      </c>
    </row>
    <row r="45" spans="2:7" ht="13.5" customHeight="1" thickTop="1">
      <c r="B45" s="32" t="str">
        <f>CONCATENATE("Total Streched DP and Other Charges payable in "&amp;A47&amp;" months")</f>
        <v>Total Streched DP and Other Charges payable in 24 months</v>
      </c>
      <c r="E45" s="30"/>
      <c r="F45" s="28"/>
      <c r="G45" s="33">
        <f>SUM(G43:G44)</f>
        <v>1095422.62</v>
      </c>
    </row>
    <row r="46" spans="2:7" ht="12.75">
      <c r="B46" s="36"/>
      <c r="E46" s="30"/>
      <c r="F46" s="28"/>
      <c r="G46" s="35"/>
    </row>
    <row r="47" spans="1:7" ht="25.5" customHeight="1">
      <c r="A47" s="37">
        <v>24</v>
      </c>
      <c r="B47" s="156" t="s">
        <v>37</v>
      </c>
      <c r="C47" s="156"/>
      <c r="D47" s="38" t="s">
        <v>38</v>
      </c>
      <c r="E47" s="39" t="s">
        <v>39</v>
      </c>
      <c r="F47" s="40" t="s">
        <v>27</v>
      </c>
      <c r="G47" s="41" t="s">
        <v>40</v>
      </c>
    </row>
    <row r="48" spans="1:7" ht="12.75">
      <c r="A48" s="155" t="s">
        <v>41</v>
      </c>
      <c r="B48" s="155"/>
      <c r="C48" s="155"/>
      <c r="D48" s="42">
        <f>IF(AND(DAY(F41)&gt;2,DAY(F41)&lt;19),DATE(YEAR(F41+30),MONTH(F41+30),DAY(17)),DATE(YEAR(F41+30),IF(DAY(F41)&gt;18,MONTH(F41+30)+1,MONTH(F41+30)),DAY(2)))</f>
        <v>43832</v>
      </c>
      <c r="E48" s="20">
        <f>ROUND(G43/A47,2)</f>
        <v>42957.75</v>
      </c>
      <c r="F48" s="43">
        <f>ROUND(G44/A47,2)</f>
        <v>2684.86</v>
      </c>
      <c r="G48" s="22">
        <f>SUM(E48:F48)</f>
        <v>45642.61</v>
      </c>
    </row>
    <row r="49" spans="1:7" ht="12.75">
      <c r="A49" s="155" t="s">
        <v>42</v>
      </c>
      <c r="B49" s="155"/>
      <c r="C49" s="155"/>
      <c r="D49" s="42">
        <f>IF($A$47&lt;VALUE(LEFT(A49,1))," ",DATE(YEAR(D48+30),MONTH(D48+30),DAY(D48)))</f>
        <v>43863</v>
      </c>
      <c r="E49" s="20">
        <f>IF($A$47&lt;VALUE(LEFT(A49,1))," ",IF($A$47=VALUE(LEFT(A49,1)),$G$43-($E$48*($A$47-1)),E48))</f>
        <v>42957.75</v>
      </c>
      <c r="F49" s="43">
        <f>IF($A$47&lt;VALUE(LEFT(A49,1))," ",IF($A$47=VALUE(LEFT(A49,1)),$G$44-($F$48*($A$47-1)),F48))</f>
        <v>2684.86</v>
      </c>
      <c r="G49" s="22">
        <f>IF($A$47&lt;VALUE(LEFT(A49,1))," ",SUM(E49:F49))</f>
        <v>45642.61</v>
      </c>
    </row>
    <row r="50" spans="1:7" ht="12.75">
      <c r="A50" s="155" t="s">
        <v>43</v>
      </c>
      <c r="B50" s="155"/>
      <c r="C50" s="155"/>
      <c r="D50" s="42">
        <f>IF($A$47&lt;VALUE(LEFT(A50,1))," ",DATE(YEAR(D49+30),MONTH(D49+30),DAY(D49)))</f>
        <v>43892</v>
      </c>
      <c r="E50" s="20">
        <f aca="true" t="shared" si="0" ref="E50:E56">IF($A$47&lt;VALUE(LEFT(A50,1))," ",IF($A$47=VALUE(LEFT(A50,1)),$G$43-($E$48*($A$47-1)),E49))</f>
        <v>42957.75</v>
      </c>
      <c r="F50" s="43">
        <f aca="true" t="shared" si="1" ref="F50:F56">IF($A$47&lt;VALUE(LEFT(A50,1))," ",IF($A$47=VALUE(LEFT(A50,1)),$G$44-($F$48*($A$47-1)),F49))</f>
        <v>2684.86</v>
      </c>
      <c r="G50" s="22">
        <f aca="true" t="shared" si="2" ref="G50:G56">IF($A$47&lt;VALUE(LEFT(A50,1))," ",SUM(E50:F50))</f>
        <v>45642.61</v>
      </c>
    </row>
    <row r="51" spans="1:7" ht="12.75">
      <c r="A51" s="155" t="s">
        <v>44</v>
      </c>
      <c r="B51" s="155"/>
      <c r="C51" s="155"/>
      <c r="D51" s="42">
        <f aca="true" t="shared" si="3" ref="D51:D56">IF($A$47&lt;VALUE(LEFT(A51,1))," ",DATE(YEAR(D50+30),MONTH(D50+30),DAY(D50)))</f>
        <v>43923</v>
      </c>
      <c r="E51" s="20">
        <f t="shared" si="0"/>
        <v>42957.75</v>
      </c>
      <c r="F51" s="43">
        <f t="shared" si="1"/>
        <v>2684.86</v>
      </c>
      <c r="G51" s="22">
        <f t="shared" si="2"/>
        <v>45642.61</v>
      </c>
    </row>
    <row r="52" spans="1:7" ht="12.75">
      <c r="A52" s="155" t="s">
        <v>45</v>
      </c>
      <c r="B52" s="155"/>
      <c r="C52" s="155"/>
      <c r="D52" s="42">
        <f t="shared" si="3"/>
        <v>43953</v>
      </c>
      <c r="E52" s="20">
        <f t="shared" si="0"/>
        <v>42957.75</v>
      </c>
      <c r="F52" s="43">
        <f t="shared" si="1"/>
        <v>2684.86</v>
      </c>
      <c r="G52" s="22">
        <f t="shared" si="2"/>
        <v>45642.61</v>
      </c>
    </row>
    <row r="53" spans="1:7" ht="12.75">
      <c r="A53" s="155" t="s">
        <v>46</v>
      </c>
      <c r="B53" s="155"/>
      <c r="C53" s="155"/>
      <c r="D53" s="42">
        <f t="shared" si="3"/>
        <v>43984</v>
      </c>
      <c r="E53" s="20">
        <f t="shared" si="0"/>
        <v>42957.75</v>
      </c>
      <c r="F53" s="43">
        <f t="shared" si="1"/>
        <v>2684.86</v>
      </c>
      <c r="G53" s="22">
        <f t="shared" si="2"/>
        <v>45642.61</v>
      </c>
    </row>
    <row r="54" spans="1:7" ht="12.75">
      <c r="A54" s="155" t="s">
        <v>47</v>
      </c>
      <c r="B54" s="155"/>
      <c r="C54" s="155"/>
      <c r="D54" s="42">
        <f t="shared" si="3"/>
        <v>44014</v>
      </c>
      <c r="E54" s="20">
        <f t="shared" si="0"/>
        <v>42957.75</v>
      </c>
      <c r="F54" s="43">
        <f t="shared" si="1"/>
        <v>2684.86</v>
      </c>
      <c r="G54" s="22">
        <f t="shared" si="2"/>
        <v>45642.61</v>
      </c>
    </row>
    <row r="55" spans="1:7" ht="12.75">
      <c r="A55" s="155" t="s">
        <v>48</v>
      </c>
      <c r="B55" s="155"/>
      <c r="C55" s="155"/>
      <c r="D55" s="42">
        <f t="shared" si="3"/>
        <v>44045</v>
      </c>
      <c r="E55" s="20">
        <f t="shared" si="0"/>
        <v>42957.75</v>
      </c>
      <c r="F55" s="43">
        <f t="shared" si="1"/>
        <v>2684.86</v>
      </c>
      <c r="G55" s="22">
        <f t="shared" si="2"/>
        <v>45642.61</v>
      </c>
    </row>
    <row r="56" spans="1:7" ht="12.75">
      <c r="A56" s="155" t="s">
        <v>49</v>
      </c>
      <c r="B56" s="155"/>
      <c r="C56" s="155"/>
      <c r="D56" s="42">
        <f t="shared" si="3"/>
        <v>44076</v>
      </c>
      <c r="E56" s="20">
        <f t="shared" si="0"/>
        <v>42957.75</v>
      </c>
      <c r="F56" s="43">
        <f t="shared" si="1"/>
        <v>2684.86</v>
      </c>
      <c r="G56" s="22">
        <f t="shared" si="2"/>
        <v>45642.61</v>
      </c>
    </row>
    <row r="57" spans="1:7" ht="12.75">
      <c r="A57" s="155" t="s">
        <v>50</v>
      </c>
      <c r="B57" s="155"/>
      <c r="C57" s="155"/>
      <c r="D57" s="42">
        <f>IF($A$47&lt;VALUE(LEFT(A57,2))," ",DATE(YEAR(D56+30),MONTH(D56+30),DAY(D56)))</f>
        <v>44106</v>
      </c>
      <c r="E57" s="20">
        <f>IF($A$47&lt;VALUE(LEFT(A57,2))," ",IF($A$47=VALUE(LEFT(A57,2)),$G$43-($E$48*($A$47-1)),E56))</f>
        <v>42957.75</v>
      </c>
      <c r="F57" s="43">
        <f>IF($A$47&lt;VALUE(LEFT(A57,2))," ",IF($A$47=VALUE(LEFT(A57,2)),$G$44-($F$48*($A$47-1)),F56))</f>
        <v>2684.86</v>
      </c>
      <c r="G57" s="22">
        <f>IF($A$47&lt;VALUE(LEFT(A57,2))," ",SUM(E57:F57))</f>
        <v>45642.61</v>
      </c>
    </row>
    <row r="58" spans="1:7" ht="12.75">
      <c r="A58" s="155" t="s">
        <v>51</v>
      </c>
      <c r="B58" s="155"/>
      <c r="C58" s="155"/>
      <c r="D58" s="42">
        <f aca="true" t="shared" si="4" ref="D58:D82">IF($A$47&lt;VALUE(LEFT(A58,2))," ",DATE(YEAR(D57+30),MONTH(D57+30),DAY(D57)))</f>
        <v>44137</v>
      </c>
      <c r="E58" s="20">
        <f aca="true" t="shared" si="5" ref="E58:E82">IF($A$47&lt;VALUE(LEFT(A58,2))," ",IF($A$47=VALUE(LEFT(A58,2)),$G$43-($E$48*($A$47-1)),E57))</f>
        <v>42957.75</v>
      </c>
      <c r="F58" s="43">
        <f aca="true" t="shared" si="6" ref="F58:F82">IF($A$47&lt;VALUE(LEFT(A58,2))," ",IF($A$47=VALUE(LEFT(A58,2)),$G$44-($F$48*($A$47-1)),F57))</f>
        <v>2684.86</v>
      </c>
      <c r="G58" s="22">
        <f aca="true" t="shared" si="7" ref="G58:G82">IF($A$47&lt;VALUE(LEFT(A58,2))," ",SUM(E58:F58))</f>
        <v>45642.61</v>
      </c>
    </row>
    <row r="59" spans="1:7" ht="12.75">
      <c r="A59" s="155" t="s">
        <v>52</v>
      </c>
      <c r="B59" s="155"/>
      <c r="C59" s="155"/>
      <c r="D59" s="42">
        <f t="shared" si="4"/>
        <v>44167</v>
      </c>
      <c r="E59" s="20">
        <f t="shared" si="5"/>
        <v>42957.75</v>
      </c>
      <c r="F59" s="43">
        <f t="shared" si="6"/>
        <v>2684.86</v>
      </c>
      <c r="G59" s="22">
        <f t="shared" si="7"/>
        <v>45642.61</v>
      </c>
    </row>
    <row r="60" spans="1:7" ht="12.75">
      <c r="A60" s="155" t="s">
        <v>53</v>
      </c>
      <c r="B60" s="155"/>
      <c r="C60" s="155"/>
      <c r="D60" s="42">
        <f t="shared" si="4"/>
        <v>44198</v>
      </c>
      <c r="E60" s="20">
        <f t="shared" si="5"/>
        <v>42957.75</v>
      </c>
      <c r="F60" s="43">
        <f t="shared" si="6"/>
        <v>2684.86</v>
      </c>
      <c r="G60" s="22">
        <f t="shared" si="7"/>
        <v>45642.61</v>
      </c>
    </row>
    <row r="61" spans="1:7" ht="12.75">
      <c r="A61" s="155" t="s">
        <v>54</v>
      </c>
      <c r="B61" s="155"/>
      <c r="C61" s="155"/>
      <c r="D61" s="42">
        <f t="shared" si="4"/>
        <v>44229</v>
      </c>
      <c r="E61" s="20">
        <f t="shared" si="5"/>
        <v>42957.75</v>
      </c>
      <c r="F61" s="43">
        <f t="shared" si="6"/>
        <v>2684.86</v>
      </c>
      <c r="G61" s="22">
        <f t="shared" si="7"/>
        <v>45642.61</v>
      </c>
    </row>
    <row r="62" spans="1:7" ht="12.75">
      <c r="A62" s="155" t="s">
        <v>55</v>
      </c>
      <c r="B62" s="155"/>
      <c r="C62" s="155"/>
      <c r="D62" s="42">
        <f t="shared" si="4"/>
        <v>44257</v>
      </c>
      <c r="E62" s="20">
        <f t="shared" si="5"/>
        <v>42957.75</v>
      </c>
      <c r="F62" s="43">
        <f t="shared" si="6"/>
        <v>2684.86</v>
      </c>
      <c r="G62" s="22">
        <f t="shared" si="7"/>
        <v>45642.61</v>
      </c>
    </row>
    <row r="63" spans="1:7" ht="12.75">
      <c r="A63" s="155" t="s">
        <v>56</v>
      </c>
      <c r="B63" s="155"/>
      <c r="C63" s="155"/>
      <c r="D63" s="42">
        <f t="shared" si="4"/>
        <v>44288</v>
      </c>
      <c r="E63" s="20">
        <f t="shared" si="5"/>
        <v>42957.75</v>
      </c>
      <c r="F63" s="43">
        <f t="shared" si="6"/>
        <v>2684.86</v>
      </c>
      <c r="G63" s="22">
        <f t="shared" si="7"/>
        <v>45642.61</v>
      </c>
    </row>
    <row r="64" spans="1:7" ht="12.75">
      <c r="A64" s="155" t="s">
        <v>57</v>
      </c>
      <c r="B64" s="155"/>
      <c r="C64" s="155"/>
      <c r="D64" s="42">
        <f t="shared" si="4"/>
        <v>44318</v>
      </c>
      <c r="E64" s="20">
        <f t="shared" si="5"/>
        <v>42957.75</v>
      </c>
      <c r="F64" s="43">
        <f t="shared" si="6"/>
        <v>2684.86</v>
      </c>
      <c r="G64" s="22">
        <f t="shared" si="7"/>
        <v>45642.61</v>
      </c>
    </row>
    <row r="65" spans="1:7" ht="12.75">
      <c r="A65" s="155" t="s">
        <v>58</v>
      </c>
      <c r="B65" s="155"/>
      <c r="C65" s="155"/>
      <c r="D65" s="42">
        <f t="shared" si="4"/>
        <v>44349</v>
      </c>
      <c r="E65" s="20">
        <f t="shared" si="5"/>
        <v>42957.75</v>
      </c>
      <c r="F65" s="43">
        <f t="shared" si="6"/>
        <v>2684.86</v>
      </c>
      <c r="G65" s="22">
        <f t="shared" si="7"/>
        <v>45642.61</v>
      </c>
    </row>
    <row r="66" spans="1:7" ht="12.75">
      <c r="A66" s="155" t="s">
        <v>59</v>
      </c>
      <c r="B66" s="155"/>
      <c r="C66" s="155"/>
      <c r="D66" s="42">
        <f t="shared" si="4"/>
        <v>44379</v>
      </c>
      <c r="E66" s="20">
        <f t="shared" si="5"/>
        <v>42957.75</v>
      </c>
      <c r="F66" s="43">
        <f t="shared" si="6"/>
        <v>2684.86</v>
      </c>
      <c r="G66" s="22">
        <f t="shared" si="7"/>
        <v>45642.61</v>
      </c>
    </row>
    <row r="67" spans="1:7" ht="12.75">
      <c r="A67" s="155" t="s">
        <v>60</v>
      </c>
      <c r="B67" s="155"/>
      <c r="C67" s="155"/>
      <c r="D67" s="42">
        <f t="shared" si="4"/>
        <v>44410</v>
      </c>
      <c r="E67" s="20">
        <f t="shared" si="5"/>
        <v>42957.75</v>
      </c>
      <c r="F67" s="43">
        <f t="shared" si="6"/>
        <v>2684.86</v>
      </c>
      <c r="G67" s="22">
        <f t="shared" si="7"/>
        <v>45642.61</v>
      </c>
    </row>
    <row r="68" spans="1:7" ht="12.75">
      <c r="A68" s="155" t="s">
        <v>61</v>
      </c>
      <c r="B68" s="155"/>
      <c r="C68" s="155"/>
      <c r="D68" s="42">
        <f t="shared" si="4"/>
        <v>44441</v>
      </c>
      <c r="E68" s="20">
        <f t="shared" si="5"/>
        <v>42957.75</v>
      </c>
      <c r="F68" s="43">
        <f t="shared" si="6"/>
        <v>2684.86</v>
      </c>
      <c r="G68" s="22">
        <f t="shared" si="7"/>
        <v>45642.61</v>
      </c>
    </row>
    <row r="69" spans="1:7" ht="12.75">
      <c r="A69" s="155" t="s">
        <v>62</v>
      </c>
      <c r="B69" s="155"/>
      <c r="C69" s="155"/>
      <c r="D69" s="42">
        <f t="shared" si="4"/>
        <v>44471</v>
      </c>
      <c r="E69" s="20">
        <f t="shared" si="5"/>
        <v>42957.75</v>
      </c>
      <c r="F69" s="43">
        <f t="shared" si="6"/>
        <v>2684.86</v>
      </c>
      <c r="G69" s="22">
        <f t="shared" si="7"/>
        <v>45642.61</v>
      </c>
    </row>
    <row r="70" spans="1:7" ht="12.75">
      <c r="A70" s="155" t="s">
        <v>63</v>
      </c>
      <c r="B70" s="155"/>
      <c r="C70" s="155"/>
      <c r="D70" s="42">
        <f t="shared" si="4"/>
        <v>44502</v>
      </c>
      <c r="E70" s="20">
        <f t="shared" si="5"/>
        <v>42957.75</v>
      </c>
      <c r="F70" s="43">
        <f t="shared" si="6"/>
        <v>2684.86</v>
      </c>
      <c r="G70" s="22">
        <f t="shared" si="7"/>
        <v>45642.61</v>
      </c>
    </row>
    <row r="71" spans="1:7" ht="12.75">
      <c r="A71" s="155" t="s">
        <v>64</v>
      </c>
      <c r="B71" s="155"/>
      <c r="C71" s="155"/>
      <c r="D71" s="42">
        <f t="shared" si="4"/>
        <v>44532</v>
      </c>
      <c r="E71" s="20">
        <f t="shared" si="5"/>
        <v>42957.75</v>
      </c>
      <c r="F71" s="43">
        <f t="shared" si="6"/>
        <v>2684.8399999999965</v>
      </c>
      <c r="G71" s="22">
        <f t="shared" si="7"/>
        <v>45642.59</v>
      </c>
    </row>
    <row r="72" spans="1:7" ht="12.75" hidden="1">
      <c r="A72" s="155" t="s">
        <v>65</v>
      </c>
      <c r="B72" s="155"/>
      <c r="C72" s="155"/>
      <c r="D72" s="42" t="str">
        <f t="shared" si="4"/>
        <v> </v>
      </c>
      <c r="E72" s="20" t="str">
        <f t="shared" si="5"/>
        <v> </v>
      </c>
      <c r="F72" s="43" t="str">
        <f t="shared" si="6"/>
        <v> </v>
      </c>
      <c r="G72" s="22" t="str">
        <f t="shared" si="7"/>
        <v> </v>
      </c>
    </row>
    <row r="73" spans="1:7" ht="12.75" hidden="1">
      <c r="A73" s="155" t="s">
        <v>66</v>
      </c>
      <c r="B73" s="155"/>
      <c r="C73" s="155"/>
      <c r="D73" s="42" t="str">
        <f t="shared" si="4"/>
        <v> </v>
      </c>
      <c r="E73" s="20" t="str">
        <f t="shared" si="5"/>
        <v> </v>
      </c>
      <c r="F73" s="43" t="str">
        <f t="shared" si="6"/>
        <v> </v>
      </c>
      <c r="G73" s="22" t="str">
        <f t="shared" si="7"/>
        <v> </v>
      </c>
    </row>
    <row r="74" spans="1:7" ht="12.75" hidden="1">
      <c r="A74" s="155" t="s">
        <v>67</v>
      </c>
      <c r="B74" s="155"/>
      <c r="C74" s="155"/>
      <c r="D74" s="42" t="str">
        <f t="shared" si="4"/>
        <v> </v>
      </c>
      <c r="E74" s="20" t="str">
        <f t="shared" si="5"/>
        <v> </v>
      </c>
      <c r="F74" s="43" t="str">
        <f t="shared" si="6"/>
        <v> </v>
      </c>
      <c r="G74" s="22" t="str">
        <f t="shared" si="7"/>
        <v> </v>
      </c>
    </row>
    <row r="75" spans="1:7" ht="12.75" hidden="1">
      <c r="A75" s="155" t="s">
        <v>68</v>
      </c>
      <c r="B75" s="155"/>
      <c r="C75" s="155"/>
      <c r="D75" s="42" t="str">
        <f t="shared" si="4"/>
        <v> </v>
      </c>
      <c r="E75" s="20" t="str">
        <f t="shared" si="5"/>
        <v> </v>
      </c>
      <c r="F75" s="43" t="str">
        <f t="shared" si="6"/>
        <v> </v>
      </c>
      <c r="G75" s="22" t="str">
        <f t="shared" si="7"/>
        <v> </v>
      </c>
    </row>
    <row r="76" spans="1:7" ht="12.75" hidden="1">
      <c r="A76" s="155" t="s">
        <v>69</v>
      </c>
      <c r="B76" s="155"/>
      <c r="C76" s="155"/>
      <c r="D76" s="42" t="str">
        <f t="shared" si="4"/>
        <v> </v>
      </c>
      <c r="E76" s="20" t="str">
        <f t="shared" si="5"/>
        <v> </v>
      </c>
      <c r="F76" s="43" t="str">
        <f t="shared" si="6"/>
        <v> </v>
      </c>
      <c r="G76" s="22" t="str">
        <f t="shared" si="7"/>
        <v> </v>
      </c>
    </row>
    <row r="77" spans="1:7" ht="12.75" hidden="1">
      <c r="A77" s="155" t="s">
        <v>70</v>
      </c>
      <c r="B77" s="155"/>
      <c r="C77" s="155"/>
      <c r="D77" s="42" t="str">
        <f t="shared" si="4"/>
        <v> </v>
      </c>
      <c r="E77" s="20" t="str">
        <f t="shared" si="5"/>
        <v> </v>
      </c>
      <c r="F77" s="43" t="str">
        <f t="shared" si="6"/>
        <v> </v>
      </c>
      <c r="G77" s="22" t="str">
        <f t="shared" si="7"/>
        <v> </v>
      </c>
    </row>
    <row r="78" spans="1:7" ht="12.75" hidden="1">
      <c r="A78" s="155" t="s">
        <v>71</v>
      </c>
      <c r="B78" s="155"/>
      <c r="C78" s="155"/>
      <c r="D78" s="42" t="str">
        <f t="shared" si="4"/>
        <v> </v>
      </c>
      <c r="E78" s="20" t="str">
        <f t="shared" si="5"/>
        <v> </v>
      </c>
      <c r="F78" s="43" t="str">
        <f t="shared" si="6"/>
        <v> </v>
      </c>
      <c r="G78" s="22" t="str">
        <f t="shared" si="7"/>
        <v> </v>
      </c>
    </row>
    <row r="79" spans="1:7" ht="12.75" hidden="1">
      <c r="A79" s="155" t="s">
        <v>72</v>
      </c>
      <c r="B79" s="155"/>
      <c r="C79" s="155"/>
      <c r="D79" s="42" t="str">
        <f t="shared" si="4"/>
        <v> </v>
      </c>
      <c r="E79" s="20" t="str">
        <f t="shared" si="5"/>
        <v> </v>
      </c>
      <c r="F79" s="43" t="str">
        <f t="shared" si="6"/>
        <v> </v>
      </c>
      <c r="G79" s="22" t="str">
        <f t="shared" si="7"/>
        <v> </v>
      </c>
    </row>
    <row r="80" spans="1:7" ht="12.75" hidden="1">
      <c r="A80" s="155" t="s">
        <v>73</v>
      </c>
      <c r="B80" s="155"/>
      <c r="C80" s="155"/>
      <c r="D80" s="42" t="str">
        <f t="shared" si="4"/>
        <v> </v>
      </c>
      <c r="E80" s="20" t="str">
        <f t="shared" si="5"/>
        <v> </v>
      </c>
      <c r="F80" s="43" t="str">
        <f t="shared" si="6"/>
        <v> </v>
      </c>
      <c r="G80" s="22" t="str">
        <f t="shared" si="7"/>
        <v> </v>
      </c>
    </row>
    <row r="81" spans="1:7" ht="12.75" hidden="1">
      <c r="A81" s="155" t="s">
        <v>74</v>
      </c>
      <c r="B81" s="155"/>
      <c r="C81" s="155"/>
      <c r="D81" s="42" t="str">
        <f t="shared" si="4"/>
        <v> </v>
      </c>
      <c r="E81" s="20" t="str">
        <f t="shared" si="5"/>
        <v> </v>
      </c>
      <c r="F81" s="43" t="str">
        <f t="shared" si="6"/>
        <v> </v>
      </c>
      <c r="G81" s="22" t="str">
        <f t="shared" si="7"/>
        <v> </v>
      </c>
    </row>
    <row r="82" spans="1:7" ht="12.75" hidden="1">
      <c r="A82" s="155" t="s">
        <v>75</v>
      </c>
      <c r="B82" s="155"/>
      <c r="C82" s="155"/>
      <c r="D82" s="42" t="str">
        <f t="shared" si="4"/>
        <v> </v>
      </c>
      <c r="E82" s="20" t="str">
        <f t="shared" si="5"/>
        <v> </v>
      </c>
      <c r="F82" s="43" t="str">
        <f t="shared" si="6"/>
        <v> </v>
      </c>
      <c r="G82" s="22" t="str">
        <f t="shared" si="7"/>
        <v> </v>
      </c>
    </row>
    <row r="83" spans="1:7" ht="12.75" hidden="1">
      <c r="A83" s="155" t="s">
        <v>76</v>
      </c>
      <c r="B83" s="155"/>
      <c r="C83" s="155"/>
      <c r="D83" s="42" t="str">
        <f>IF($A$47&lt;VALUE(LEFT(A83,2))," ",DATE(YEAR(D82+30),MONTH(D82+30),DAY(D82)))</f>
        <v> </v>
      </c>
      <c r="E83" s="20" t="str">
        <f>IF($A$47&lt;VALUE(LEFT(A83,2))," ",IF($A$47=VALUE(LEFT(A83,2)),$G$43-($E$48*($A$47-1)),E82))</f>
        <v> </v>
      </c>
      <c r="F83" s="43" t="str">
        <f>IF($A$47&lt;VALUE(LEFT(A83,2))," ",IF($A$47=VALUE(LEFT(A83,2)),$G$44-($F$48*($A$47-1)),F82))</f>
        <v> </v>
      </c>
      <c r="G83" s="22" t="str">
        <f>IF($A$47&lt;VALUE(LEFT(A83,2))," ",SUM(E83:F83))</f>
        <v> </v>
      </c>
    </row>
    <row r="84" spans="2:7" ht="12.75">
      <c r="B84" s="34"/>
      <c r="E84" s="30"/>
      <c r="F84" s="28"/>
      <c r="G84" s="35"/>
    </row>
    <row r="85" ht="12.75">
      <c r="A85" s="26" t="s">
        <v>77</v>
      </c>
    </row>
    <row r="86" spans="2:6" ht="12.75">
      <c r="B86" s="1" t="s">
        <v>78</v>
      </c>
      <c r="F86" s="44">
        <f>D66</f>
        <v>44379</v>
      </c>
    </row>
    <row r="87" spans="2:9" ht="12.75">
      <c r="B87" s="1" t="s">
        <v>79</v>
      </c>
      <c r="F87" s="44">
        <f>DATE(YEAR(MAX(D48:D71)+30),MONTH(MAX(D48:D71)+30),DAY(F86))</f>
        <v>44563</v>
      </c>
      <c r="G87" s="45">
        <f>ROUND(((G24+G25)*((100-A33)/100))+(G29*(100-A33)/100),2)</f>
        <v>8763381.01</v>
      </c>
      <c r="I87" s="22"/>
    </row>
    <row r="88" ht="12.75">
      <c r="B88" s="1" t="s">
        <v>80</v>
      </c>
    </row>
    <row r="90" spans="1:4" ht="12.75">
      <c r="A90" s="32" t="s">
        <v>81</v>
      </c>
      <c r="B90" s="46"/>
      <c r="C90" s="46"/>
      <c r="D90" s="46"/>
    </row>
    <row r="91" spans="1:7" ht="12.75">
      <c r="A91" s="128" t="s">
        <v>119</v>
      </c>
      <c r="B91" s="128"/>
      <c r="C91" s="128"/>
      <c r="D91" s="128"/>
      <c r="E91" s="128"/>
      <c r="F91" s="128"/>
      <c r="G91" s="128"/>
    </row>
    <row r="92" spans="1:4" ht="12.75">
      <c r="A92" s="46" t="s">
        <v>82</v>
      </c>
      <c r="B92" s="46"/>
      <c r="C92" s="46"/>
      <c r="D92" s="46"/>
    </row>
    <row r="93" spans="1:4" ht="12.75">
      <c r="A93" s="46" t="s">
        <v>83</v>
      </c>
      <c r="B93" s="46"/>
      <c r="C93" s="46"/>
      <c r="D93" s="46"/>
    </row>
    <row r="94" spans="1:4" ht="12.75">
      <c r="A94" s="46" t="s">
        <v>84</v>
      </c>
      <c r="B94" s="46"/>
      <c r="C94" s="46"/>
      <c r="D94" s="46"/>
    </row>
    <row r="95" spans="1:4" ht="12.75">
      <c r="A95" s="47" t="s">
        <v>85</v>
      </c>
      <c r="B95" s="46"/>
      <c r="C95" s="46"/>
      <c r="D95" s="46"/>
    </row>
    <row r="96" spans="1:4" ht="12.75">
      <c r="A96" s="47" t="s">
        <v>86</v>
      </c>
      <c r="B96" s="46"/>
      <c r="C96" s="46"/>
      <c r="D96" s="46"/>
    </row>
    <row r="97" spans="1:4" ht="12.75">
      <c r="A97" s="47" t="s">
        <v>87</v>
      </c>
      <c r="B97" s="46"/>
      <c r="C97" s="46"/>
      <c r="D97" s="46"/>
    </row>
    <row r="98" spans="1:4" ht="12.75">
      <c r="A98" s="47" t="s">
        <v>88</v>
      </c>
      <c r="B98" s="46"/>
      <c r="C98" s="46"/>
      <c r="D98" s="46"/>
    </row>
    <row r="99" spans="1:4" ht="12.75">
      <c r="A99" s="47" t="s">
        <v>89</v>
      </c>
      <c r="B99" s="46"/>
      <c r="C99" s="46"/>
      <c r="D99" s="46"/>
    </row>
    <row r="100" spans="1:7" ht="12.75">
      <c r="A100" s="128" t="s">
        <v>118</v>
      </c>
      <c r="B100" s="128"/>
      <c r="C100" s="128"/>
      <c r="D100" s="128"/>
      <c r="E100" s="128"/>
      <c r="F100" s="128"/>
      <c r="G100" s="128"/>
    </row>
  </sheetData>
  <sheetProtection/>
  <mergeCells count="44">
    <mergeCell ref="B1:F1"/>
    <mergeCell ref="B2:F2"/>
    <mergeCell ref="A3:G3"/>
    <mergeCell ref="F6:G6"/>
    <mergeCell ref="F7:G7"/>
    <mergeCell ref="B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91:G91"/>
    <mergeCell ref="A100:G100"/>
    <mergeCell ref="A78:C78"/>
    <mergeCell ref="A79:C79"/>
    <mergeCell ref="A80:C80"/>
    <mergeCell ref="A81:C81"/>
    <mergeCell ref="A82:C82"/>
    <mergeCell ref="A83:C83"/>
  </mergeCells>
  <conditionalFormatting sqref="B11 B25">
    <cfRule type="expression" priority="1" dxfId="41" stopIfTrue="1">
      <formula>G11=0</formula>
    </cfRule>
  </conditionalFormatting>
  <conditionalFormatting sqref="A49:C56">
    <cfRule type="expression" priority="2" dxfId="41" stopIfTrue="1">
      <formula>VALUE(NoDPSchedule)&lt;VALUE(LEFT(A49,1))</formula>
    </cfRule>
  </conditionalFormatting>
  <conditionalFormatting sqref="A57:C83">
    <cfRule type="expression" priority="3" dxfId="41" stopIfTrue="1">
      <formula>VALUE(NoDPSchedule)&lt;VALUE(LEFT(A57,2))</formula>
    </cfRule>
  </conditionalFormatting>
  <conditionalFormatting sqref="G11 G25">
    <cfRule type="expression" priority="4" dxfId="41" stopIfTrue="1">
      <formula>G11=0</formula>
    </cfRule>
  </conditionalFormatting>
  <conditionalFormatting sqref="D4">
    <cfRule type="expression" priority="5" dxfId="42" stopIfTrue="1">
      <formula>G5&lt;=TODAY()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07"/>
  <sheetViews>
    <sheetView zoomScalePageLayoutView="0" workbookViewId="0" topLeftCell="A1">
      <selection activeCell="I30" sqref="I30"/>
    </sheetView>
  </sheetViews>
  <sheetFormatPr defaultColWidth="12.375" defaultRowHeight="12.75" customHeight="1"/>
  <cols>
    <col min="1" max="4" width="12.375" style="86" customWidth="1"/>
    <col min="5" max="6" width="14.625" style="86" customWidth="1"/>
    <col min="7" max="7" width="22.125" style="86" customWidth="1"/>
    <col min="8" max="8" width="15.00390625" style="86" hidden="1" customWidth="1"/>
    <col min="9" max="9" width="15.00390625" style="86" customWidth="1"/>
    <col min="10" max="10" width="14.125" style="86" customWidth="1"/>
    <col min="11" max="16384" width="12.375" style="86" customWidth="1"/>
  </cols>
  <sheetData>
    <row r="1" spans="1:7" ht="14.25" customHeight="1" thickTop="1">
      <c r="A1" s="84" t="s">
        <v>123</v>
      </c>
      <c r="B1" s="157" t="s">
        <v>0</v>
      </c>
      <c r="C1" s="157"/>
      <c r="D1" s="157"/>
      <c r="E1" s="157"/>
      <c r="F1" s="157"/>
      <c r="G1" s="85"/>
    </row>
    <row r="2" spans="1:7" ht="14.25" customHeight="1">
      <c r="A2" s="87"/>
      <c r="B2" s="158" t="s">
        <v>1</v>
      </c>
      <c r="C2" s="158"/>
      <c r="D2" s="158"/>
      <c r="E2" s="158"/>
      <c r="F2" s="158"/>
      <c r="G2" s="88"/>
    </row>
    <row r="3" spans="1:7" ht="30" customHeight="1">
      <c r="A3" s="159" t="s">
        <v>2</v>
      </c>
      <c r="B3" s="160"/>
      <c r="C3" s="160"/>
      <c r="D3" s="160"/>
      <c r="E3" s="160"/>
      <c r="F3" s="160"/>
      <c r="G3" s="161"/>
    </row>
    <row r="4" spans="1:7" ht="13.5" customHeight="1" thickBot="1">
      <c r="A4" s="89">
        <f>IF(A43&lt;=12,12,A43)</f>
        <v>36</v>
      </c>
      <c r="B4" s="90"/>
      <c r="C4" s="90"/>
      <c r="D4" s="91" t="str">
        <f>IF(A43&gt;G5,"TERM IS SUBJECT FOR APPROVAL","SAMPLECOMPUTATION ONLY")</f>
        <v>SAMPLECOMPUTATION ONLY</v>
      </c>
      <c r="E4" s="90"/>
      <c r="F4" s="90"/>
      <c r="G4" s="92"/>
    </row>
    <row r="5" ht="13.5" customHeight="1" thickTop="1">
      <c r="G5" s="93">
        <v>42</v>
      </c>
    </row>
    <row r="6" spans="1:7" ht="12.75">
      <c r="A6" s="94" t="s">
        <v>3</v>
      </c>
      <c r="B6" s="94" t="s">
        <v>4</v>
      </c>
      <c r="C6" s="94" t="s">
        <v>5</v>
      </c>
      <c r="D6" s="94" t="s">
        <v>6</v>
      </c>
      <c r="E6" s="94"/>
      <c r="F6" s="162" t="s">
        <v>7</v>
      </c>
      <c r="G6" s="162"/>
    </row>
    <row r="7" spans="1:7" ht="12.75">
      <c r="A7" s="12" t="s">
        <v>8</v>
      </c>
      <c r="B7" s="12">
        <v>528</v>
      </c>
      <c r="C7" s="12">
        <v>5</v>
      </c>
      <c r="D7" s="12">
        <v>51.7</v>
      </c>
      <c r="E7" s="12"/>
      <c r="F7" s="138" t="s">
        <v>121</v>
      </c>
      <c r="G7" s="138"/>
    </row>
    <row r="8" spans="1:7" ht="12.75" customHeight="1">
      <c r="A8" s="1"/>
      <c r="B8" s="1"/>
      <c r="C8" s="1"/>
      <c r="D8" s="1"/>
      <c r="E8" s="1"/>
      <c r="F8" s="1"/>
      <c r="G8" s="1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>
      <c r="A10" s="13" t="s">
        <v>11</v>
      </c>
      <c r="B10" s="13"/>
      <c r="C10" s="14"/>
      <c r="D10" s="15"/>
      <c r="E10" s="15"/>
      <c r="F10" s="16" t="s">
        <v>12</v>
      </c>
      <c r="G10" s="17">
        <v>10414000</v>
      </c>
    </row>
    <row r="11" spans="1:7" ht="12.75">
      <c r="A11" s="86" t="s">
        <v>13</v>
      </c>
      <c r="B11" s="86" t="s">
        <v>14</v>
      </c>
      <c r="C11" s="98"/>
      <c r="F11" s="99"/>
      <c r="G11" s="100">
        <f>ROUND(IF(ISERROR(FIND("PARKING",Model,1)),IF(SellingPrice&gt;3199200,(G10-(G10/1.12)),0),(G10-(G10/1.12))),2)</f>
        <v>1115785.71</v>
      </c>
    </row>
    <row r="12" spans="1:10" ht="12.75">
      <c r="A12" s="101">
        <v>3</v>
      </c>
      <c r="B12" s="86" t="s">
        <v>124</v>
      </c>
      <c r="F12" s="99"/>
      <c r="G12" s="102">
        <f>H23</f>
        <v>278946.4287</v>
      </c>
      <c r="H12" s="103">
        <f>SellingPrice-G11</f>
        <v>9298214.29</v>
      </c>
      <c r="I12" s="102"/>
      <c r="J12" s="102"/>
    </row>
    <row r="13" spans="2:10" ht="12.75" hidden="1">
      <c r="B13" s="86" t="s">
        <v>15</v>
      </c>
      <c r="G13" s="102">
        <v>0</v>
      </c>
      <c r="I13" s="102"/>
      <c r="J13" s="102"/>
    </row>
    <row r="14" spans="2:10" ht="12.75" hidden="1">
      <c r="B14" s="86" t="s">
        <v>16</v>
      </c>
      <c r="G14" s="102">
        <v>0</v>
      </c>
      <c r="I14" s="102"/>
      <c r="J14" s="102"/>
    </row>
    <row r="15" spans="2:9" ht="12.75" hidden="1">
      <c r="B15" s="86" t="s">
        <v>17</v>
      </c>
      <c r="G15" s="102">
        <v>0</v>
      </c>
      <c r="I15" s="102"/>
    </row>
    <row r="16" spans="2:9" ht="12.75" hidden="1">
      <c r="B16" s="86" t="s">
        <v>18</v>
      </c>
      <c r="G16" s="102">
        <v>0</v>
      </c>
      <c r="I16" s="102"/>
    </row>
    <row r="17" spans="2:9" ht="12.75" hidden="1">
      <c r="B17" s="86" t="s">
        <v>19</v>
      </c>
      <c r="G17" s="102">
        <v>0</v>
      </c>
      <c r="I17" s="102"/>
    </row>
    <row r="18" spans="2:10" ht="12.75" hidden="1">
      <c r="B18" s="86" t="s">
        <v>20</v>
      </c>
      <c r="G18" s="102">
        <v>0</v>
      </c>
      <c r="H18" s="102"/>
      <c r="I18" s="102"/>
      <c r="J18" s="102"/>
    </row>
    <row r="19" spans="2:10" ht="12.75" hidden="1">
      <c r="B19" s="86" t="s">
        <v>21</v>
      </c>
      <c r="G19" s="102">
        <v>0</v>
      </c>
      <c r="J19" s="102"/>
    </row>
    <row r="20" spans="2:10" ht="12.75" hidden="1">
      <c r="B20" s="86" t="s">
        <v>22</v>
      </c>
      <c r="G20" s="102">
        <v>0</v>
      </c>
      <c r="J20" s="102"/>
    </row>
    <row r="21" spans="2:10" ht="12.75" hidden="1">
      <c r="B21" s="86" t="s">
        <v>23</v>
      </c>
      <c r="G21" s="102">
        <v>0</v>
      </c>
      <c r="J21" s="102"/>
    </row>
    <row r="22" spans="2:10" ht="12.75" hidden="1">
      <c r="B22" s="86" t="s">
        <v>24</v>
      </c>
      <c r="G22" s="102">
        <v>0</v>
      </c>
      <c r="J22" s="102"/>
    </row>
    <row r="23" spans="6:10" ht="13.5" customHeight="1" thickBot="1">
      <c r="F23" s="99"/>
      <c r="G23" s="104"/>
      <c r="H23" s="103">
        <f>H12*3%</f>
        <v>278946.4287</v>
      </c>
      <c r="J23" s="102"/>
    </row>
    <row r="24" spans="1:9" ht="13.5" customHeight="1" thickTop="1">
      <c r="A24" s="95" t="s">
        <v>125</v>
      </c>
      <c r="B24" s="105"/>
      <c r="C24" s="96"/>
      <c r="D24" s="96"/>
      <c r="E24" s="96"/>
      <c r="F24" s="97" t="s">
        <v>12</v>
      </c>
      <c r="G24" s="106">
        <f>(SellingPrice-G11)-SUM(G12:G22)</f>
        <v>9019267.861299999</v>
      </c>
      <c r="I24" s="102"/>
    </row>
    <row r="25" spans="1:9" ht="12.75">
      <c r="A25" s="86" t="s">
        <v>26</v>
      </c>
      <c r="B25" s="86" t="s">
        <v>14</v>
      </c>
      <c r="G25" s="102">
        <f>ROUND(IF(ISERROR(FIND("PARKING",Model,1)),IF(G24&gt;3199200,G24*12%,0),G24*12%),2)</f>
        <v>1082312.14</v>
      </c>
      <c r="I25" s="102"/>
    </row>
    <row r="26" spans="1:7" ht="12.75" hidden="1">
      <c r="A26" s="101">
        <v>7</v>
      </c>
      <c r="B26" s="86" t="s">
        <v>27</v>
      </c>
      <c r="G26" s="102">
        <f>ROUND(G24*(A26/100),2)</f>
        <v>631348.75</v>
      </c>
    </row>
    <row r="27" spans="1:7" ht="12.75" hidden="1">
      <c r="A27" s="101"/>
      <c r="B27" s="86" t="s">
        <v>28</v>
      </c>
      <c r="F27" s="101">
        <f>IF(G27&gt;50000,50000,G27)</f>
        <v>0</v>
      </c>
      <c r="G27" s="102">
        <v>0</v>
      </c>
    </row>
    <row r="28" spans="1:7" ht="12.75" hidden="1">
      <c r="A28" s="101"/>
      <c r="B28" s="86" t="s">
        <v>29</v>
      </c>
      <c r="G28" s="102">
        <v>0</v>
      </c>
    </row>
    <row r="29" spans="1:7" ht="13.5" customHeight="1" thickBot="1">
      <c r="A29" s="101"/>
      <c r="B29" s="86" t="s">
        <v>27</v>
      </c>
      <c r="G29" s="102">
        <f>ROUND(SUM(G26,G28,F27),2)</f>
        <v>631348.75</v>
      </c>
    </row>
    <row r="30" spans="1:7" ht="13.5" customHeight="1" thickTop="1">
      <c r="A30" s="95" t="s">
        <v>30</v>
      </c>
      <c r="B30" s="96"/>
      <c r="C30" s="96"/>
      <c r="D30" s="96"/>
      <c r="E30" s="96"/>
      <c r="F30" s="97" t="s">
        <v>12</v>
      </c>
      <c r="G30" s="106">
        <f>G24+SUM(G25,G29)</f>
        <v>10732928.7513</v>
      </c>
    </row>
    <row r="31" spans="1:7" ht="13.5" customHeight="1" thickBot="1">
      <c r="A31" s="86" t="s">
        <v>13</v>
      </c>
      <c r="B31" s="86" t="s">
        <v>34</v>
      </c>
      <c r="F31" s="107">
        <f>DATE(2019,10,7)</f>
        <v>43745</v>
      </c>
      <c r="G31" s="102">
        <v>20000</v>
      </c>
    </row>
    <row r="32" spans="1:7" ht="13.5" customHeight="1" thickTop="1">
      <c r="A32" s="95" t="s">
        <v>126</v>
      </c>
      <c r="B32" s="96"/>
      <c r="C32" s="96"/>
      <c r="D32" s="96"/>
      <c r="E32" s="108"/>
      <c r="F32" s="97" t="s">
        <v>12</v>
      </c>
      <c r="G32" s="106">
        <f>G30-G31</f>
        <v>10712928.7513</v>
      </c>
    </row>
    <row r="33" ht="12.75">
      <c r="A33" s="109">
        <v>100</v>
      </c>
    </row>
    <row r="34" ht="12.75">
      <c r="A34" s="110" t="s">
        <v>31</v>
      </c>
    </row>
    <row r="35" spans="1:10" ht="13.5" customHeight="1" thickBot="1">
      <c r="A35" s="101">
        <v>10</v>
      </c>
      <c r="B35" s="86" t="str">
        <f>CONCATENATE("Spot Downpayment ("&amp;A35&amp;"% of Selling Price)")</f>
        <v>Spot Downpayment (10% of Selling Price)</v>
      </c>
      <c r="E35" s="111"/>
      <c r="F35" s="107"/>
      <c r="G35" s="102">
        <f>ROUND((SUM(G24:G25)*(A35/100))-(G31),2)</f>
        <v>990158</v>
      </c>
      <c r="H35" s="102"/>
      <c r="I35" s="102"/>
      <c r="J35" s="112"/>
    </row>
    <row r="36" spans="2:7" ht="13.5" customHeight="1" thickTop="1">
      <c r="B36" s="113" t="s">
        <v>127</v>
      </c>
      <c r="E36" s="111"/>
      <c r="F36" s="107">
        <f>ReservationDate+19</f>
        <v>43764</v>
      </c>
      <c r="G36" s="114">
        <f>SUM(G35:G35)</f>
        <v>990158</v>
      </c>
    </row>
    <row r="37" spans="2:7" ht="12.75">
      <c r="B37" s="113"/>
      <c r="E37" s="111"/>
      <c r="F37" s="107"/>
      <c r="G37" s="115"/>
    </row>
    <row r="38" spans="1:7" ht="12.75">
      <c r="A38" s="110" t="s">
        <v>128</v>
      </c>
      <c r="B38" s="116"/>
      <c r="E38" s="111"/>
      <c r="F38" s="107"/>
      <c r="G38" s="117"/>
    </row>
    <row r="39" spans="1:9" ht="12.75">
      <c r="A39" s="101">
        <f>A33-A35</f>
        <v>90</v>
      </c>
      <c r="B39" s="118" t="str">
        <f>CONCATENATE("Balance Remaining ("&amp;A39&amp;"% of Selling Price)")</f>
        <v>Balance Remaining (90% of Selling Price)</v>
      </c>
      <c r="E39" s="111"/>
      <c r="F39" s="107"/>
      <c r="G39" s="102">
        <f>(SUM(G24:G25)-G35)-G31</f>
        <v>9091422.0013</v>
      </c>
      <c r="I39" s="102"/>
    </row>
    <row r="40" spans="2:7" ht="13.5" customHeight="1" thickBot="1">
      <c r="B40" s="118" t="str">
        <f>IF(LumpOCDate&lt;&gt;"","Other Charges is payable on or before","Other Charges")</f>
        <v>Other Charges</v>
      </c>
      <c r="E40" s="111"/>
      <c r="F40" s="107"/>
      <c r="G40" s="102">
        <f>G29</f>
        <v>631348.75</v>
      </c>
    </row>
    <row r="41" spans="2:7" ht="13.5" customHeight="1" thickTop="1">
      <c r="B41" s="113" t="str">
        <f>CONCATENATE("Remaining Balance and OC due and payable in "&amp;A43&amp;" months at 0 intrest")</f>
        <v>Remaining Balance and OC due and payable in 36 months at 0 intrest</v>
      </c>
      <c r="E41" s="111"/>
      <c r="F41" s="107"/>
      <c r="G41" s="114">
        <f>SUM(G39:G40)</f>
        <v>9722770.7513</v>
      </c>
    </row>
    <row r="42" spans="2:7" ht="12.75">
      <c r="B42" s="118"/>
      <c r="E42" s="111"/>
      <c r="F42" s="107"/>
      <c r="G42" s="117"/>
    </row>
    <row r="43" spans="1:7" ht="25.5" customHeight="1">
      <c r="A43" s="119">
        <v>36</v>
      </c>
      <c r="B43" s="163" t="s">
        <v>37</v>
      </c>
      <c r="C43" s="163"/>
      <c r="D43" s="120" t="s">
        <v>38</v>
      </c>
      <c r="E43" s="121" t="s">
        <v>39</v>
      </c>
      <c r="F43" s="122" t="s">
        <v>27</v>
      </c>
      <c r="G43" s="123" t="s">
        <v>40</v>
      </c>
    </row>
    <row r="44" spans="1:7" ht="12.75">
      <c r="A44" s="164" t="s">
        <v>41</v>
      </c>
      <c r="B44" s="164"/>
      <c r="C44" s="164"/>
      <c r="D44" s="124">
        <f>IF(AND(DAY(F36)&gt;2,DAY(F36)&lt;19),DATE(YEAR(F36+30),MONTH(F36+30),DAY(17)),DATE(YEAR(F36+30),IF(DAY(F36)&gt;18,MONTH(F36+30)+1,MONTH(F36+30)),DAY(2)))</f>
        <v>43801</v>
      </c>
      <c r="E44" s="100">
        <f>ROUND(G39/A43,2)</f>
        <v>252539.5</v>
      </c>
      <c r="F44" s="125">
        <f>ROUND(IF(LumpOCDate&lt;&gt;"",IF(D44=LumpOCDate,$G$40,0),$G$40/NoDPSchedule),2)</f>
        <v>17537.47</v>
      </c>
      <c r="G44" s="102">
        <f>SUM(E44:F44)</f>
        <v>270076.97</v>
      </c>
    </row>
    <row r="45" spans="1:7" ht="12.75">
      <c r="A45" s="164" t="s">
        <v>42</v>
      </c>
      <c r="B45" s="164"/>
      <c r="C45" s="164"/>
      <c r="D45" s="124">
        <f>IF($A$43&lt;VALUE(LEFT(A45,1))," ",DATE(YEAR(D44+30),MONTH(D44+30),DAY(D44)))</f>
        <v>43832</v>
      </c>
      <c r="E45" s="100">
        <f>IF($A$43&lt;VALUE(LEFT(A45,1))," ",IF($A$43=VALUE(LEFT(A45,1)),$G$39-($E$44*($A$43-1)),E44))</f>
        <v>252539.5</v>
      </c>
      <c r="F45" s="125">
        <f>IF($A$43&lt;VALUE(LEFT(A45,1))," ",IF($A$43=VALUE(LEFT(A45,1)),$G$40-($F$44*($A$43-1)),F44))</f>
        <v>17537.47</v>
      </c>
      <c r="G45" s="102">
        <f aca="true" t="shared" si="0" ref="G45:G52">IF(NoDPSchedule&lt;VALUE(LEFT(A45,1))," ",SUM(E45:F45))</f>
        <v>270076.97</v>
      </c>
    </row>
    <row r="46" spans="1:7" ht="12.75">
      <c r="A46" s="164" t="s">
        <v>43</v>
      </c>
      <c r="B46" s="164"/>
      <c r="C46" s="164"/>
      <c r="D46" s="124">
        <f>IF($A$43&lt;VALUE(LEFT(A46,1))," ",DATE(YEAR(D45+30),MONTH(D45+30),DAY(D45)))</f>
        <v>43863</v>
      </c>
      <c r="E46" s="100">
        <f aca="true" t="shared" si="1" ref="E46:E52">IF($A$43&lt;VALUE(LEFT(A46,1))," ",IF($A$43=VALUE(LEFT(A46,1)),$G$39-($E$44*($A$43-1)),E45))</f>
        <v>252539.5</v>
      </c>
      <c r="F46" s="125">
        <f aca="true" t="shared" si="2" ref="F46:F52">IF($A$43&lt;VALUE(LEFT(A46,1))," ",IF($A$43=VALUE(LEFT(A46,1)),$G$40-($F$44*($A$43-1)),F45))</f>
        <v>17537.47</v>
      </c>
      <c r="G46" s="102">
        <f t="shared" si="0"/>
        <v>270076.97</v>
      </c>
    </row>
    <row r="47" spans="1:7" ht="12.75">
      <c r="A47" s="164" t="s">
        <v>44</v>
      </c>
      <c r="B47" s="164"/>
      <c r="C47" s="164"/>
      <c r="D47" s="124">
        <f aca="true" t="shared" si="3" ref="D47:D52">IF($A$43&lt;VALUE(LEFT(A47,1))," ",DATE(YEAR(D46+30),MONTH(D46+30),DAY(D46)))</f>
        <v>43892</v>
      </c>
      <c r="E47" s="100">
        <f t="shared" si="1"/>
        <v>252539.5</v>
      </c>
      <c r="F47" s="125">
        <f t="shared" si="2"/>
        <v>17537.47</v>
      </c>
      <c r="G47" s="102">
        <f t="shared" si="0"/>
        <v>270076.97</v>
      </c>
    </row>
    <row r="48" spans="1:7" ht="12.75">
      <c r="A48" s="164" t="s">
        <v>45</v>
      </c>
      <c r="B48" s="164"/>
      <c r="C48" s="164"/>
      <c r="D48" s="124">
        <f t="shared" si="3"/>
        <v>43923</v>
      </c>
      <c r="E48" s="100">
        <f t="shared" si="1"/>
        <v>252539.5</v>
      </c>
      <c r="F48" s="125">
        <f t="shared" si="2"/>
        <v>17537.47</v>
      </c>
      <c r="G48" s="102">
        <f t="shared" si="0"/>
        <v>270076.97</v>
      </c>
    </row>
    <row r="49" spans="1:7" ht="12.75">
      <c r="A49" s="164" t="s">
        <v>46</v>
      </c>
      <c r="B49" s="164"/>
      <c r="C49" s="164"/>
      <c r="D49" s="124">
        <f t="shared" si="3"/>
        <v>43953</v>
      </c>
      <c r="E49" s="100">
        <f t="shared" si="1"/>
        <v>252539.5</v>
      </c>
      <c r="F49" s="125">
        <f t="shared" si="2"/>
        <v>17537.47</v>
      </c>
      <c r="G49" s="102">
        <f t="shared" si="0"/>
        <v>270076.97</v>
      </c>
    </row>
    <row r="50" spans="1:7" ht="12.75">
      <c r="A50" s="164" t="s">
        <v>47</v>
      </c>
      <c r="B50" s="164"/>
      <c r="C50" s="164"/>
      <c r="D50" s="124">
        <f t="shared" si="3"/>
        <v>43984</v>
      </c>
      <c r="E50" s="100">
        <f t="shared" si="1"/>
        <v>252539.5</v>
      </c>
      <c r="F50" s="125">
        <f t="shared" si="2"/>
        <v>17537.47</v>
      </c>
      <c r="G50" s="102">
        <f t="shared" si="0"/>
        <v>270076.97</v>
      </c>
    </row>
    <row r="51" spans="1:7" ht="12.75">
      <c r="A51" s="164" t="s">
        <v>48</v>
      </c>
      <c r="B51" s="164"/>
      <c r="C51" s="164"/>
      <c r="D51" s="124">
        <f t="shared" si="3"/>
        <v>44014</v>
      </c>
      <c r="E51" s="100">
        <f t="shared" si="1"/>
        <v>252539.5</v>
      </c>
      <c r="F51" s="125">
        <f t="shared" si="2"/>
        <v>17537.47</v>
      </c>
      <c r="G51" s="102">
        <f t="shared" si="0"/>
        <v>270076.97</v>
      </c>
    </row>
    <row r="52" spans="1:7" ht="12.75">
      <c r="A52" s="164" t="s">
        <v>49</v>
      </c>
      <c r="B52" s="164"/>
      <c r="C52" s="164"/>
      <c r="D52" s="124">
        <f t="shared" si="3"/>
        <v>44045</v>
      </c>
      <c r="E52" s="100">
        <f t="shared" si="1"/>
        <v>252539.5</v>
      </c>
      <c r="F52" s="125">
        <f t="shared" si="2"/>
        <v>17537.47</v>
      </c>
      <c r="G52" s="102">
        <f t="shared" si="0"/>
        <v>270076.97</v>
      </c>
    </row>
    <row r="53" spans="1:7" ht="12.75">
      <c r="A53" s="164" t="s">
        <v>50</v>
      </c>
      <c r="B53" s="164"/>
      <c r="C53" s="164"/>
      <c r="D53" s="124">
        <f>IF($A$43&lt;VALUE(LEFT(A53,2))," ",DATE(YEAR(D52+30),MONTH(D52+30),DAY(D52)))</f>
        <v>44076</v>
      </c>
      <c r="E53" s="100">
        <f>IF($A$43&lt;VALUE(LEFT(A53,2))," ",IF($A$43=VALUE(LEFT(A53,2)),$G$39-($E$44*($A$43-1)),E52))</f>
        <v>252539.5</v>
      </c>
      <c r="F53" s="125">
        <f>IF($A$43&lt;VALUE(LEFT(A53,2))," ",IF($A$43=VALUE(LEFT(A53,2)),$G$40-($F$44*($A$43-1)),F52))</f>
        <v>17537.47</v>
      </c>
      <c r="G53" s="102">
        <f aca="true" t="shared" si="4" ref="G53:G95">IF(NoDPSchedule&lt;VALUE(LEFT(A53,2))," ",SUM(E53:F53))</f>
        <v>270076.97</v>
      </c>
    </row>
    <row r="54" spans="1:7" ht="12.75">
      <c r="A54" s="164" t="s">
        <v>51</v>
      </c>
      <c r="B54" s="164"/>
      <c r="C54" s="164"/>
      <c r="D54" s="124">
        <f aca="true" t="shared" si="5" ref="D54:D95">IF($A$43&lt;VALUE(LEFT(A54,2))," ",DATE(YEAR(D53+30),MONTH(D53+30),DAY(D53)))</f>
        <v>44106</v>
      </c>
      <c r="E54" s="100">
        <f aca="true" t="shared" si="6" ref="E54:E95">IF($A$43&lt;VALUE(LEFT(A54,2))," ",IF($A$43=VALUE(LEFT(A54,2)),$G$39-($E$44*($A$43-1)),E53))</f>
        <v>252539.5</v>
      </c>
      <c r="F54" s="125">
        <f aca="true" t="shared" si="7" ref="F54:F95">IF($A$43&lt;VALUE(LEFT(A54,2))," ",IF($A$43=VALUE(LEFT(A54,2)),$G$40-($F$44*($A$43-1)),F53))</f>
        <v>17537.47</v>
      </c>
      <c r="G54" s="102">
        <f t="shared" si="4"/>
        <v>270076.97</v>
      </c>
    </row>
    <row r="55" spans="1:7" ht="12.75">
      <c r="A55" s="164" t="s">
        <v>52</v>
      </c>
      <c r="B55" s="164"/>
      <c r="C55" s="164"/>
      <c r="D55" s="124">
        <f t="shared" si="5"/>
        <v>44137</v>
      </c>
      <c r="E55" s="100">
        <f t="shared" si="6"/>
        <v>252539.5</v>
      </c>
      <c r="F55" s="125">
        <f t="shared" si="7"/>
        <v>17537.47</v>
      </c>
      <c r="G55" s="102">
        <f t="shared" si="4"/>
        <v>270076.97</v>
      </c>
    </row>
    <row r="56" spans="1:7" ht="12.75">
      <c r="A56" s="164" t="s">
        <v>53</v>
      </c>
      <c r="B56" s="164"/>
      <c r="C56" s="164"/>
      <c r="D56" s="124">
        <f t="shared" si="5"/>
        <v>44167</v>
      </c>
      <c r="E56" s="100">
        <f t="shared" si="6"/>
        <v>252539.5</v>
      </c>
      <c r="F56" s="125">
        <f t="shared" si="7"/>
        <v>17537.47</v>
      </c>
      <c r="G56" s="102">
        <f t="shared" si="4"/>
        <v>270076.97</v>
      </c>
    </row>
    <row r="57" spans="1:7" ht="12.75">
      <c r="A57" s="164" t="s">
        <v>54</v>
      </c>
      <c r="B57" s="164"/>
      <c r="C57" s="164"/>
      <c r="D57" s="124">
        <f t="shared" si="5"/>
        <v>44198</v>
      </c>
      <c r="E57" s="100">
        <f t="shared" si="6"/>
        <v>252539.5</v>
      </c>
      <c r="F57" s="125">
        <f t="shared" si="7"/>
        <v>17537.47</v>
      </c>
      <c r="G57" s="102">
        <f t="shared" si="4"/>
        <v>270076.97</v>
      </c>
    </row>
    <row r="58" spans="1:7" ht="12.75">
      <c r="A58" s="164" t="s">
        <v>55</v>
      </c>
      <c r="B58" s="164"/>
      <c r="C58" s="164"/>
      <c r="D58" s="124">
        <f t="shared" si="5"/>
        <v>44229</v>
      </c>
      <c r="E58" s="100">
        <f t="shared" si="6"/>
        <v>252539.5</v>
      </c>
      <c r="F58" s="125">
        <f t="shared" si="7"/>
        <v>17537.47</v>
      </c>
      <c r="G58" s="102">
        <f t="shared" si="4"/>
        <v>270076.97</v>
      </c>
    </row>
    <row r="59" spans="1:7" ht="12.75">
      <c r="A59" s="164" t="s">
        <v>56</v>
      </c>
      <c r="B59" s="164"/>
      <c r="C59" s="164"/>
      <c r="D59" s="124">
        <f t="shared" si="5"/>
        <v>44257</v>
      </c>
      <c r="E59" s="100">
        <f t="shared" si="6"/>
        <v>252539.5</v>
      </c>
      <c r="F59" s="125">
        <f t="shared" si="7"/>
        <v>17537.47</v>
      </c>
      <c r="G59" s="102">
        <f t="shared" si="4"/>
        <v>270076.97</v>
      </c>
    </row>
    <row r="60" spans="1:7" ht="12.75">
      <c r="A60" s="164" t="s">
        <v>57</v>
      </c>
      <c r="B60" s="164"/>
      <c r="C60" s="164"/>
      <c r="D60" s="124">
        <f t="shared" si="5"/>
        <v>44288</v>
      </c>
      <c r="E60" s="100">
        <f t="shared" si="6"/>
        <v>252539.5</v>
      </c>
      <c r="F60" s="125">
        <f t="shared" si="7"/>
        <v>17537.47</v>
      </c>
      <c r="G60" s="102">
        <f t="shared" si="4"/>
        <v>270076.97</v>
      </c>
    </row>
    <row r="61" spans="1:7" ht="12.75">
      <c r="A61" s="164" t="s">
        <v>58</v>
      </c>
      <c r="B61" s="164"/>
      <c r="C61" s="164"/>
      <c r="D61" s="124">
        <f t="shared" si="5"/>
        <v>44318</v>
      </c>
      <c r="E61" s="100">
        <f t="shared" si="6"/>
        <v>252539.5</v>
      </c>
      <c r="F61" s="125">
        <f t="shared" si="7"/>
        <v>17537.47</v>
      </c>
      <c r="G61" s="102">
        <f t="shared" si="4"/>
        <v>270076.97</v>
      </c>
    </row>
    <row r="62" spans="1:7" ht="12.75">
      <c r="A62" s="164" t="s">
        <v>59</v>
      </c>
      <c r="B62" s="164"/>
      <c r="C62" s="164"/>
      <c r="D62" s="124">
        <f t="shared" si="5"/>
        <v>44349</v>
      </c>
      <c r="E62" s="100">
        <f t="shared" si="6"/>
        <v>252539.5</v>
      </c>
      <c r="F62" s="125">
        <f t="shared" si="7"/>
        <v>17537.47</v>
      </c>
      <c r="G62" s="102">
        <f t="shared" si="4"/>
        <v>270076.97</v>
      </c>
    </row>
    <row r="63" spans="1:7" ht="12.75">
      <c r="A63" s="164" t="s">
        <v>60</v>
      </c>
      <c r="B63" s="164"/>
      <c r="C63" s="164"/>
      <c r="D63" s="124">
        <f t="shared" si="5"/>
        <v>44379</v>
      </c>
      <c r="E63" s="100">
        <f t="shared" si="6"/>
        <v>252539.5</v>
      </c>
      <c r="F63" s="125">
        <f t="shared" si="7"/>
        <v>17537.47</v>
      </c>
      <c r="G63" s="102">
        <f t="shared" si="4"/>
        <v>270076.97</v>
      </c>
    </row>
    <row r="64" spans="1:7" ht="12.75">
      <c r="A64" s="164" t="s">
        <v>61</v>
      </c>
      <c r="B64" s="164"/>
      <c r="C64" s="164"/>
      <c r="D64" s="124">
        <f t="shared" si="5"/>
        <v>44410</v>
      </c>
      <c r="E64" s="100">
        <f t="shared" si="6"/>
        <v>252539.5</v>
      </c>
      <c r="F64" s="125">
        <f t="shared" si="7"/>
        <v>17537.47</v>
      </c>
      <c r="G64" s="102">
        <f t="shared" si="4"/>
        <v>270076.97</v>
      </c>
    </row>
    <row r="65" spans="1:7" ht="12.75">
      <c r="A65" s="164" t="s">
        <v>62</v>
      </c>
      <c r="B65" s="164"/>
      <c r="C65" s="164"/>
      <c r="D65" s="124">
        <f t="shared" si="5"/>
        <v>44441</v>
      </c>
      <c r="E65" s="100">
        <f t="shared" si="6"/>
        <v>252539.5</v>
      </c>
      <c r="F65" s="125">
        <f t="shared" si="7"/>
        <v>17537.47</v>
      </c>
      <c r="G65" s="102">
        <f t="shared" si="4"/>
        <v>270076.97</v>
      </c>
    </row>
    <row r="66" spans="1:7" ht="12.75">
      <c r="A66" s="164" t="s">
        <v>63</v>
      </c>
      <c r="B66" s="164"/>
      <c r="C66" s="164"/>
      <c r="D66" s="124">
        <f t="shared" si="5"/>
        <v>44471</v>
      </c>
      <c r="E66" s="100">
        <f t="shared" si="6"/>
        <v>252539.5</v>
      </c>
      <c r="F66" s="125">
        <f t="shared" si="7"/>
        <v>17537.47</v>
      </c>
      <c r="G66" s="102">
        <f t="shared" si="4"/>
        <v>270076.97</v>
      </c>
    </row>
    <row r="67" spans="1:7" ht="12.75">
      <c r="A67" s="164" t="s">
        <v>64</v>
      </c>
      <c r="B67" s="164"/>
      <c r="C67" s="164"/>
      <c r="D67" s="124">
        <f t="shared" si="5"/>
        <v>44502</v>
      </c>
      <c r="E67" s="100">
        <f t="shared" si="6"/>
        <v>252539.5</v>
      </c>
      <c r="F67" s="125">
        <f t="shared" si="7"/>
        <v>17537.47</v>
      </c>
      <c r="G67" s="102">
        <f t="shared" si="4"/>
        <v>270076.97</v>
      </c>
    </row>
    <row r="68" spans="1:7" ht="12.75">
      <c r="A68" s="164" t="s">
        <v>65</v>
      </c>
      <c r="B68" s="164"/>
      <c r="C68" s="164"/>
      <c r="D68" s="124">
        <f t="shared" si="5"/>
        <v>44532</v>
      </c>
      <c r="E68" s="100">
        <f t="shared" si="6"/>
        <v>252539.5</v>
      </c>
      <c r="F68" s="125">
        <f t="shared" si="7"/>
        <v>17537.47</v>
      </c>
      <c r="G68" s="102">
        <f t="shared" si="4"/>
        <v>270076.97</v>
      </c>
    </row>
    <row r="69" spans="1:7" ht="12.75">
      <c r="A69" s="164" t="s">
        <v>66</v>
      </c>
      <c r="B69" s="164"/>
      <c r="C69" s="164"/>
      <c r="D69" s="124">
        <f t="shared" si="5"/>
        <v>44563</v>
      </c>
      <c r="E69" s="100">
        <f t="shared" si="6"/>
        <v>252539.5</v>
      </c>
      <c r="F69" s="125">
        <f t="shared" si="7"/>
        <v>17537.47</v>
      </c>
      <c r="G69" s="102">
        <f t="shared" si="4"/>
        <v>270076.97</v>
      </c>
    </row>
    <row r="70" spans="1:7" ht="12.75">
      <c r="A70" s="164" t="s">
        <v>67</v>
      </c>
      <c r="B70" s="164"/>
      <c r="C70" s="164"/>
      <c r="D70" s="124">
        <f t="shared" si="5"/>
        <v>44594</v>
      </c>
      <c r="E70" s="100">
        <f t="shared" si="6"/>
        <v>252539.5</v>
      </c>
      <c r="F70" s="125">
        <f t="shared" si="7"/>
        <v>17537.47</v>
      </c>
      <c r="G70" s="102">
        <f t="shared" si="4"/>
        <v>270076.97</v>
      </c>
    </row>
    <row r="71" spans="1:7" ht="12.75">
      <c r="A71" s="164" t="s">
        <v>68</v>
      </c>
      <c r="B71" s="164"/>
      <c r="C71" s="164"/>
      <c r="D71" s="124">
        <f t="shared" si="5"/>
        <v>44622</v>
      </c>
      <c r="E71" s="100">
        <f t="shared" si="6"/>
        <v>252539.5</v>
      </c>
      <c r="F71" s="125">
        <f t="shared" si="7"/>
        <v>17537.47</v>
      </c>
      <c r="G71" s="102">
        <f t="shared" si="4"/>
        <v>270076.97</v>
      </c>
    </row>
    <row r="72" spans="1:7" ht="12.75">
      <c r="A72" s="164" t="s">
        <v>69</v>
      </c>
      <c r="B72" s="164"/>
      <c r="C72" s="164"/>
      <c r="D72" s="124">
        <f t="shared" si="5"/>
        <v>44653</v>
      </c>
      <c r="E72" s="100">
        <f t="shared" si="6"/>
        <v>252539.5</v>
      </c>
      <c r="F72" s="125">
        <f t="shared" si="7"/>
        <v>17537.47</v>
      </c>
      <c r="G72" s="102">
        <f t="shared" si="4"/>
        <v>270076.97</v>
      </c>
    </row>
    <row r="73" spans="1:7" ht="12.75">
      <c r="A73" s="164" t="s">
        <v>70</v>
      </c>
      <c r="B73" s="164"/>
      <c r="C73" s="164"/>
      <c r="D73" s="124">
        <f t="shared" si="5"/>
        <v>44683</v>
      </c>
      <c r="E73" s="100">
        <f t="shared" si="6"/>
        <v>252539.5</v>
      </c>
      <c r="F73" s="125">
        <f t="shared" si="7"/>
        <v>17537.47</v>
      </c>
      <c r="G73" s="102">
        <f t="shared" si="4"/>
        <v>270076.97</v>
      </c>
    </row>
    <row r="74" spans="1:7" ht="12.75">
      <c r="A74" s="164" t="s">
        <v>71</v>
      </c>
      <c r="B74" s="164"/>
      <c r="C74" s="164"/>
      <c r="D74" s="124">
        <f t="shared" si="5"/>
        <v>44714</v>
      </c>
      <c r="E74" s="100">
        <f t="shared" si="6"/>
        <v>252539.5</v>
      </c>
      <c r="F74" s="125">
        <f t="shared" si="7"/>
        <v>17537.47</v>
      </c>
      <c r="G74" s="102">
        <f t="shared" si="4"/>
        <v>270076.97</v>
      </c>
    </row>
    <row r="75" spans="1:7" ht="12.75">
      <c r="A75" s="164" t="s">
        <v>72</v>
      </c>
      <c r="B75" s="164"/>
      <c r="C75" s="164"/>
      <c r="D75" s="124">
        <f t="shared" si="5"/>
        <v>44744</v>
      </c>
      <c r="E75" s="100">
        <f t="shared" si="6"/>
        <v>252539.5</v>
      </c>
      <c r="F75" s="125">
        <f t="shared" si="7"/>
        <v>17537.47</v>
      </c>
      <c r="G75" s="102">
        <f t="shared" si="4"/>
        <v>270076.97</v>
      </c>
    </row>
    <row r="76" spans="1:7" ht="12.75">
      <c r="A76" s="164" t="s">
        <v>73</v>
      </c>
      <c r="B76" s="164"/>
      <c r="C76" s="164"/>
      <c r="D76" s="124">
        <f t="shared" si="5"/>
        <v>44775</v>
      </c>
      <c r="E76" s="100">
        <f t="shared" si="6"/>
        <v>252539.5</v>
      </c>
      <c r="F76" s="125">
        <f t="shared" si="7"/>
        <v>17537.47</v>
      </c>
      <c r="G76" s="102">
        <f t="shared" si="4"/>
        <v>270076.97</v>
      </c>
    </row>
    <row r="77" spans="1:7" ht="12.75">
      <c r="A77" s="164" t="s">
        <v>74</v>
      </c>
      <c r="B77" s="164"/>
      <c r="C77" s="164"/>
      <c r="D77" s="124">
        <f t="shared" si="5"/>
        <v>44806</v>
      </c>
      <c r="E77" s="100">
        <f t="shared" si="6"/>
        <v>252539.5</v>
      </c>
      <c r="F77" s="125">
        <f t="shared" si="7"/>
        <v>17537.47</v>
      </c>
      <c r="G77" s="102">
        <f t="shared" si="4"/>
        <v>270076.97</v>
      </c>
    </row>
    <row r="78" spans="1:7" ht="12.75">
      <c r="A78" s="164" t="s">
        <v>75</v>
      </c>
      <c r="B78" s="164"/>
      <c r="C78" s="164"/>
      <c r="D78" s="124">
        <f t="shared" si="5"/>
        <v>44836</v>
      </c>
      <c r="E78" s="100">
        <f t="shared" si="6"/>
        <v>252539.5</v>
      </c>
      <c r="F78" s="125">
        <f t="shared" si="7"/>
        <v>17537.47</v>
      </c>
      <c r="G78" s="102">
        <f t="shared" si="4"/>
        <v>270076.97</v>
      </c>
    </row>
    <row r="79" spans="1:7" ht="12.75">
      <c r="A79" s="164" t="s">
        <v>76</v>
      </c>
      <c r="B79" s="164"/>
      <c r="C79" s="164"/>
      <c r="D79" s="124">
        <f t="shared" si="5"/>
        <v>44867</v>
      </c>
      <c r="E79" s="100">
        <f t="shared" si="6"/>
        <v>252539.50129999965</v>
      </c>
      <c r="F79" s="125">
        <f t="shared" si="7"/>
        <v>17537.29999999993</v>
      </c>
      <c r="G79" s="102">
        <f t="shared" si="4"/>
        <v>270076.8012999996</v>
      </c>
    </row>
    <row r="80" spans="1:7" ht="12.75" hidden="1">
      <c r="A80" s="164" t="s">
        <v>129</v>
      </c>
      <c r="B80" s="164"/>
      <c r="C80" s="164"/>
      <c r="D80" s="124" t="str">
        <f t="shared" si="5"/>
        <v> </v>
      </c>
      <c r="E80" s="100" t="str">
        <f t="shared" si="6"/>
        <v> </v>
      </c>
      <c r="F80" s="125" t="str">
        <f t="shared" si="7"/>
        <v> </v>
      </c>
      <c r="G80" s="102" t="str">
        <f t="shared" si="4"/>
        <v> </v>
      </c>
    </row>
    <row r="81" spans="1:7" ht="12.75" hidden="1">
      <c r="A81" s="164" t="s">
        <v>130</v>
      </c>
      <c r="B81" s="164"/>
      <c r="C81" s="164"/>
      <c r="D81" s="124" t="str">
        <f t="shared" si="5"/>
        <v> </v>
      </c>
      <c r="E81" s="100" t="str">
        <f t="shared" si="6"/>
        <v> </v>
      </c>
      <c r="F81" s="125" t="str">
        <f t="shared" si="7"/>
        <v> </v>
      </c>
      <c r="G81" s="102" t="str">
        <f t="shared" si="4"/>
        <v> </v>
      </c>
    </row>
    <row r="82" spans="1:7" ht="12.75" hidden="1">
      <c r="A82" s="164" t="s">
        <v>131</v>
      </c>
      <c r="B82" s="164"/>
      <c r="C82" s="164"/>
      <c r="D82" s="124" t="str">
        <f t="shared" si="5"/>
        <v> </v>
      </c>
      <c r="E82" s="100" t="str">
        <f t="shared" si="6"/>
        <v> </v>
      </c>
      <c r="F82" s="125" t="str">
        <f t="shared" si="7"/>
        <v> </v>
      </c>
      <c r="G82" s="102" t="str">
        <f t="shared" si="4"/>
        <v> </v>
      </c>
    </row>
    <row r="83" spans="1:7" ht="12.75" hidden="1">
      <c r="A83" s="164" t="s">
        <v>132</v>
      </c>
      <c r="B83" s="164"/>
      <c r="C83" s="164"/>
      <c r="D83" s="124" t="str">
        <f t="shared" si="5"/>
        <v> </v>
      </c>
      <c r="E83" s="100" t="str">
        <f t="shared" si="6"/>
        <v> </v>
      </c>
      <c r="F83" s="125" t="str">
        <f t="shared" si="7"/>
        <v> </v>
      </c>
      <c r="G83" s="102" t="str">
        <f t="shared" si="4"/>
        <v> </v>
      </c>
    </row>
    <row r="84" spans="1:7" ht="12.75" hidden="1">
      <c r="A84" s="164" t="s">
        <v>133</v>
      </c>
      <c r="B84" s="164"/>
      <c r="C84" s="164"/>
      <c r="D84" s="124" t="str">
        <f t="shared" si="5"/>
        <v> </v>
      </c>
      <c r="E84" s="100" t="str">
        <f t="shared" si="6"/>
        <v> </v>
      </c>
      <c r="F84" s="125" t="str">
        <f t="shared" si="7"/>
        <v> </v>
      </c>
      <c r="G84" s="102" t="str">
        <f t="shared" si="4"/>
        <v> </v>
      </c>
    </row>
    <row r="85" spans="1:7" ht="12.75" hidden="1">
      <c r="A85" s="164" t="s">
        <v>134</v>
      </c>
      <c r="B85" s="164"/>
      <c r="C85" s="164"/>
      <c r="D85" s="124" t="str">
        <f t="shared" si="5"/>
        <v> </v>
      </c>
      <c r="E85" s="100" t="str">
        <f t="shared" si="6"/>
        <v> </v>
      </c>
      <c r="F85" s="125" t="str">
        <f t="shared" si="7"/>
        <v> </v>
      </c>
      <c r="G85" s="102" t="str">
        <f t="shared" si="4"/>
        <v> </v>
      </c>
    </row>
    <row r="86" spans="1:7" ht="12.75" hidden="1">
      <c r="A86" s="164" t="s">
        <v>135</v>
      </c>
      <c r="B86" s="164"/>
      <c r="C86" s="164"/>
      <c r="D86" s="124" t="str">
        <f t="shared" si="5"/>
        <v> </v>
      </c>
      <c r="E86" s="100" t="str">
        <f t="shared" si="6"/>
        <v> </v>
      </c>
      <c r="F86" s="125" t="str">
        <f t="shared" si="7"/>
        <v> </v>
      </c>
      <c r="G86" s="102" t="str">
        <f t="shared" si="4"/>
        <v> </v>
      </c>
    </row>
    <row r="87" spans="1:7" ht="12.75" hidden="1">
      <c r="A87" s="164" t="s">
        <v>136</v>
      </c>
      <c r="B87" s="164"/>
      <c r="C87" s="164"/>
      <c r="D87" s="124" t="str">
        <f t="shared" si="5"/>
        <v> </v>
      </c>
      <c r="E87" s="100" t="str">
        <f t="shared" si="6"/>
        <v> </v>
      </c>
      <c r="F87" s="125" t="str">
        <f t="shared" si="7"/>
        <v> </v>
      </c>
      <c r="G87" s="102" t="str">
        <f t="shared" si="4"/>
        <v> </v>
      </c>
    </row>
    <row r="88" spans="1:7" ht="12.75" hidden="1">
      <c r="A88" s="164" t="s">
        <v>137</v>
      </c>
      <c r="B88" s="164"/>
      <c r="C88" s="164"/>
      <c r="D88" s="124" t="str">
        <f t="shared" si="5"/>
        <v> </v>
      </c>
      <c r="E88" s="100" t="str">
        <f t="shared" si="6"/>
        <v> </v>
      </c>
      <c r="F88" s="125" t="str">
        <f t="shared" si="7"/>
        <v> </v>
      </c>
      <c r="G88" s="102" t="str">
        <f t="shared" si="4"/>
        <v> </v>
      </c>
    </row>
    <row r="89" spans="1:7" ht="12.75" hidden="1">
      <c r="A89" s="164" t="s">
        <v>138</v>
      </c>
      <c r="B89" s="164"/>
      <c r="C89" s="164"/>
      <c r="D89" s="124" t="str">
        <f t="shared" si="5"/>
        <v> </v>
      </c>
      <c r="E89" s="100" t="str">
        <f t="shared" si="6"/>
        <v> </v>
      </c>
      <c r="F89" s="125" t="str">
        <f t="shared" si="7"/>
        <v> </v>
      </c>
      <c r="G89" s="102" t="str">
        <f t="shared" si="4"/>
        <v> </v>
      </c>
    </row>
    <row r="90" spans="1:7" ht="12.75" hidden="1">
      <c r="A90" s="164" t="s">
        <v>139</v>
      </c>
      <c r="B90" s="164"/>
      <c r="C90" s="164"/>
      <c r="D90" s="124" t="str">
        <f t="shared" si="5"/>
        <v> </v>
      </c>
      <c r="E90" s="100" t="str">
        <f t="shared" si="6"/>
        <v> </v>
      </c>
      <c r="F90" s="125" t="str">
        <f t="shared" si="7"/>
        <v> </v>
      </c>
      <c r="G90" s="102" t="str">
        <f t="shared" si="4"/>
        <v> </v>
      </c>
    </row>
    <row r="91" spans="1:7" ht="12.75" hidden="1">
      <c r="A91" s="164" t="s">
        <v>140</v>
      </c>
      <c r="B91" s="164"/>
      <c r="C91" s="164"/>
      <c r="D91" s="124" t="str">
        <f t="shared" si="5"/>
        <v> </v>
      </c>
      <c r="E91" s="100" t="str">
        <f t="shared" si="6"/>
        <v> </v>
      </c>
      <c r="F91" s="125" t="str">
        <f t="shared" si="7"/>
        <v> </v>
      </c>
      <c r="G91" s="102" t="str">
        <f t="shared" si="4"/>
        <v> </v>
      </c>
    </row>
    <row r="92" spans="1:7" ht="12.75" hidden="1">
      <c r="A92" s="164" t="s">
        <v>141</v>
      </c>
      <c r="B92" s="164"/>
      <c r="C92" s="164"/>
      <c r="D92" s="124" t="str">
        <f t="shared" si="5"/>
        <v> </v>
      </c>
      <c r="E92" s="100" t="str">
        <f t="shared" si="6"/>
        <v> </v>
      </c>
      <c r="F92" s="125" t="str">
        <f t="shared" si="7"/>
        <v> </v>
      </c>
      <c r="G92" s="102" t="str">
        <f t="shared" si="4"/>
        <v> </v>
      </c>
    </row>
    <row r="93" spans="1:7" ht="12.75" hidden="1">
      <c r="A93" s="164" t="s">
        <v>142</v>
      </c>
      <c r="B93" s="164"/>
      <c r="C93" s="164"/>
      <c r="D93" s="124" t="str">
        <f t="shared" si="5"/>
        <v> </v>
      </c>
      <c r="E93" s="100" t="str">
        <f t="shared" si="6"/>
        <v> </v>
      </c>
      <c r="F93" s="125" t="str">
        <f t="shared" si="7"/>
        <v> </v>
      </c>
      <c r="G93" s="102" t="str">
        <f t="shared" si="4"/>
        <v> </v>
      </c>
    </row>
    <row r="94" spans="1:7" ht="12.75" hidden="1">
      <c r="A94" s="164" t="s">
        <v>143</v>
      </c>
      <c r="B94" s="164"/>
      <c r="C94" s="164"/>
      <c r="D94" s="124" t="str">
        <f t="shared" si="5"/>
        <v> </v>
      </c>
      <c r="E94" s="100" t="str">
        <f t="shared" si="6"/>
        <v> </v>
      </c>
      <c r="F94" s="125" t="str">
        <f t="shared" si="7"/>
        <v> </v>
      </c>
      <c r="G94" s="102" t="str">
        <f t="shared" si="4"/>
        <v> </v>
      </c>
    </row>
    <row r="95" spans="1:7" ht="12.75" hidden="1">
      <c r="A95" s="164" t="s">
        <v>144</v>
      </c>
      <c r="B95" s="164"/>
      <c r="C95" s="164"/>
      <c r="D95" s="124" t="str">
        <f t="shared" si="5"/>
        <v> </v>
      </c>
      <c r="E95" s="100" t="str">
        <f t="shared" si="6"/>
        <v> </v>
      </c>
      <c r="F95" s="125" t="str">
        <f t="shared" si="7"/>
        <v> </v>
      </c>
      <c r="G95" s="102" t="str">
        <f t="shared" si="4"/>
        <v> </v>
      </c>
    </row>
    <row r="97" spans="1:4" ht="12.75">
      <c r="A97" s="113" t="s">
        <v>81</v>
      </c>
      <c r="B97" s="126"/>
      <c r="C97" s="126"/>
      <c r="D97" s="126"/>
    </row>
    <row r="98" spans="1:7" ht="12.75">
      <c r="A98" s="165" t="s">
        <v>119</v>
      </c>
      <c r="B98" s="165"/>
      <c r="C98" s="165"/>
      <c r="D98" s="165"/>
      <c r="E98" s="165"/>
      <c r="F98" s="165"/>
      <c r="G98" s="165"/>
    </row>
    <row r="99" spans="1:4" ht="12.75">
      <c r="A99" s="126" t="s">
        <v>82</v>
      </c>
      <c r="B99" s="126"/>
      <c r="C99" s="126"/>
      <c r="D99" s="126"/>
    </row>
    <row r="100" spans="1:4" ht="12.75">
      <c r="A100" s="126" t="s">
        <v>83</v>
      </c>
      <c r="B100" s="126"/>
      <c r="C100" s="126"/>
      <c r="D100" s="126"/>
    </row>
    <row r="101" spans="1:4" ht="12.75">
      <c r="A101" s="126" t="s">
        <v>84</v>
      </c>
      <c r="B101" s="126"/>
      <c r="C101" s="126"/>
      <c r="D101" s="126"/>
    </row>
    <row r="102" spans="1:4" ht="12.75">
      <c r="A102" s="127" t="s">
        <v>85</v>
      </c>
      <c r="B102" s="126"/>
      <c r="C102" s="126"/>
      <c r="D102" s="126"/>
    </row>
    <row r="103" spans="1:4" ht="12.75">
      <c r="A103" s="127" t="s">
        <v>86</v>
      </c>
      <c r="B103" s="126"/>
      <c r="C103" s="126"/>
      <c r="D103" s="126"/>
    </row>
    <row r="104" spans="1:4" ht="12.75">
      <c r="A104" s="127" t="s">
        <v>87</v>
      </c>
      <c r="B104" s="126"/>
      <c r="C104" s="126"/>
      <c r="D104" s="126"/>
    </row>
    <row r="105" spans="1:4" ht="12.75">
      <c r="A105" s="127" t="s">
        <v>88</v>
      </c>
      <c r="B105" s="126"/>
      <c r="C105" s="126"/>
      <c r="D105" s="126"/>
    </row>
    <row r="106" spans="1:4" ht="12.75">
      <c r="A106" s="127" t="s">
        <v>89</v>
      </c>
      <c r="B106" s="126"/>
      <c r="C106" s="126"/>
      <c r="D106" s="126"/>
    </row>
    <row r="107" spans="1:7" ht="12.75">
      <c r="A107" s="165" t="s">
        <v>145</v>
      </c>
      <c r="B107" s="165"/>
      <c r="C107" s="165"/>
      <c r="D107" s="165"/>
      <c r="E107" s="165"/>
      <c r="F107" s="165"/>
      <c r="G107" s="165"/>
    </row>
  </sheetData>
  <sheetProtection/>
  <mergeCells count="60">
    <mergeCell ref="A92:C92"/>
    <mergeCell ref="A93:C93"/>
    <mergeCell ref="A94:C94"/>
    <mergeCell ref="A95:C95"/>
    <mergeCell ref="A98:G98"/>
    <mergeCell ref="A107:G107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B1:F1"/>
    <mergeCell ref="B2:F2"/>
    <mergeCell ref="A3:G3"/>
    <mergeCell ref="F6:G6"/>
    <mergeCell ref="F7:G7"/>
    <mergeCell ref="B43:C43"/>
  </mergeCells>
  <conditionalFormatting sqref="A45:C52">
    <cfRule type="expression" priority="1" dxfId="41" stopIfTrue="1">
      <formula>VALUE(NoDPSchedule)&lt;VALUE(LEFT(A45,1))</formula>
    </cfRule>
  </conditionalFormatting>
  <conditionalFormatting sqref="A53:C95">
    <cfRule type="expression" priority="2" dxfId="41" stopIfTrue="1">
      <formula>VALUE(NoDPSchedule)&lt;VALUE(LEFT(A53,2))</formula>
    </cfRule>
  </conditionalFormatting>
  <conditionalFormatting sqref="G11 G25">
    <cfRule type="expression" priority="3" dxfId="41" stopIfTrue="1">
      <formula>G11=0</formula>
    </cfRule>
  </conditionalFormatting>
  <conditionalFormatting sqref="B11">
    <cfRule type="expression" priority="4" dxfId="41" stopIfTrue="1">
      <formula>G11=0</formula>
    </cfRule>
  </conditionalFormatting>
  <conditionalFormatting sqref="B25">
    <cfRule type="expression" priority="5" dxfId="41" stopIfTrue="1">
      <formula>G25=0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100"/>
  <sheetViews>
    <sheetView zoomScalePageLayoutView="0" workbookViewId="0" topLeftCell="A1">
      <selection activeCell="H24" sqref="H24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21.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7" ht="14.25" customHeight="1" thickTop="1">
      <c r="A1" s="2"/>
      <c r="B1" s="132" t="s">
        <v>0</v>
      </c>
      <c r="C1" s="132"/>
      <c r="D1" s="132"/>
      <c r="E1" s="132"/>
      <c r="F1" s="132"/>
      <c r="G1" s="3"/>
    </row>
    <row r="2" spans="1:7" ht="14.25" customHeight="1">
      <c r="A2" s="4"/>
      <c r="B2" s="133" t="s">
        <v>1</v>
      </c>
      <c r="C2" s="133"/>
      <c r="D2" s="133"/>
      <c r="E2" s="133"/>
      <c r="F2" s="133"/>
      <c r="G2" s="5"/>
    </row>
    <row r="3" spans="1:7" ht="30" customHeight="1">
      <c r="A3" s="134" t="s">
        <v>2</v>
      </c>
      <c r="B3" s="135"/>
      <c r="C3" s="135"/>
      <c r="D3" s="135"/>
      <c r="E3" s="135"/>
      <c r="F3" s="135"/>
      <c r="G3" s="136"/>
    </row>
    <row r="4" spans="1:7" ht="15" customHeight="1" thickBot="1">
      <c r="A4" s="6">
        <f>IF(A47&lt;=12,12,A47)</f>
        <v>24</v>
      </c>
      <c r="B4" s="7"/>
      <c r="C4" s="7"/>
      <c r="D4" s="8" t="str">
        <f>IF(A47&gt;G5,"TERM IS SUBJECT FOR APPROVAL","SAMPLE COMPUTATION ONLY")</f>
        <v>SAMPLE COMPUTATION ONLY</v>
      </c>
      <c r="E4" s="7"/>
      <c r="F4" s="7"/>
      <c r="G4" s="9"/>
    </row>
    <row r="5" ht="13.5" customHeight="1" thickTop="1">
      <c r="G5" s="10">
        <v>36</v>
      </c>
    </row>
    <row r="6" spans="1:7" ht="12.75">
      <c r="A6" s="11" t="s">
        <v>3</v>
      </c>
      <c r="B6" s="11" t="s">
        <v>4</v>
      </c>
      <c r="C6" s="11" t="s">
        <v>5</v>
      </c>
      <c r="D6" s="11" t="s">
        <v>6</v>
      </c>
      <c r="E6" s="11"/>
      <c r="F6" s="137" t="s">
        <v>7</v>
      </c>
      <c r="G6" s="137"/>
    </row>
    <row r="7" spans="1:7" ht="12.75">
      <c r="A7" s="12" t="s">
        <v>8</v>
      </c>
      <c r="B7" s="12">
        <v>401</v>
      </c>
      <c r="C7" s="12">
        <v>4</v>
      </c>
      <c r="D7" s="12">
        <v>61.2</v>
      </c>
      <c r="E7" s="12"/>
      <c r="F7" s="138" t="s">
        <v>122</v>
      </c>
      <c r="G7" s="138"/>
    </row>
    <row r="10" spans="1:7" ht="12.75">
      <c r="A10" s="13" t="s">
        <v>11</v>
      </c>
      <c r="B10" s="13"/>
      <c r="C10" s="14"/>
      <c r="D10" s="15"/>
      <c r="E10" s="15"/>
      <c r="F10" s="16" t="s">
        <v>12</v>
      </c>
      <c r="G10" s="17">
        <v>12233000</v>
      </c>
    </row>
    <row r="11" spans="1:7" ht="12.75">
      <c r="A11" s="1" t="s">
        <v>13</v>
      </c>
      <c r="B11" s="1" t="s">
        <v>14</v>
      </c>
      <c r="C11" s="18"/>
      <c r="F11" s="19"/>
      <c r="G11" s="20">
        <f>ROUND(IF(ISERROR(FIND("PARKING",Model,1)),IF(SellingPrice&gt;3199200,(G10-(G10/1.12)),0),(G10-(G10/1.12))),2)</f>
        <v>1310678.57</v>
      </c>
    </row>
    <row r="12" spans="1:10" ht="12.75">
      <c r="A12" s="21">
        <v>10</v>
      </c>
      <c r="B12" s="1" t="str">
        <f>CONCATENATE(A12,"% Discount on ",A39,"% SFDP")</f>
        <v>10% Discount on 10% SFDP</v>
      </c>
      <c r="F12" s="19"/>
      <c r="G12" s="22">
        <f>((G10-G11)-Discount2Value)*(PercentageDiscount/100)*(SpotDownpayment/100)</f>
        <v>109223.21430000002</v>
      </c>
      <c r="I12" s="22"/>
      <c r="J12" s="22"/>
    </row>
    <row r="13" spans="2:10" ht="12.75" hidden="1">
      <c r="B13" s="1" t="s">
        <v>15</v>
      </c>
      <c r="G13" s="22">
        <v>0</v>
      </c>
      <c r="I13" s="22"/>
      <c r="J13" s="22"/>
    </row>
    <row r="14" spans="2:10" ht="12.75" hidden="1">
      <c r="B14" s="1" t="s">
        <v>16</v>
      </c>
      <c r="G14" s="22">
        <v>0</v>
      </c>
      <c r="I14" s="22"/>
      <c r="J14" s="22"/>
    </row>
    <row r="15" spans="2:9" ht="12.75" hidden="1">
      <c r="B15" s="1" t="s">
        <v>17</v>
      </c>
      <c r="G15" s="22">
        <v>0</v>
      </c>
      <c r="I15" s="22"/>
    </row>
    <row r="16" spans="2:9" ht="12.75" hidden="1">
      <c r="B16" s="1" t="s">
        <v>18</v>
      </c>
      <c r="G16" s="22">
        <v>0</v>
      </c>
      <c r="I16" s="22"/>
    </row>
    <row r="17" spans="2:9" ht="12.75" hidden="1">
      <c r="B17" s="1" t="s">
        <v>19</v>
      </c>
      <c r="G17" s="22">
        <v>0</v>
      </c>
      <c r="I17" s="22"/>
    </row>
    <row r="18" spans="2:10" ht="12.75" hidden="1">
      <c r="B18" s="1" t="s">
        <v>20</v>
      </c>
      <c r="G18" s="22">
        <v>0</v>
      </c>
      <c r="H18" s="22"/>
      <c r="I18" s="22"/>
      <c r="J18" s="22"/>
    </row>
    <row r="19" spans="2:10" ht="12.75" hidden="1">
      <c r="B19" s="1" t="s">
        <v>21</v>
      </c>
      <c r="G19" s="22">
        <v>0</v>
      </c>
      <c r="J19" s="22"/>
    </row>
    <row r="20" spans="2:10" ht="12.75" hidden="1">
      <c r="B20" s="1" t="s">
        <v>22</v>
      </c>
      <c r="G20" s="22">
        <v>0</v>
      </c>
      <c r="J20" s="22"/>
    </row>
    <row r="21" spans="2:10" ht="12.75" hidden="1">
      <c r="B21" s="1" t="s">
        <v>23</v>
      </c>
      <c r="G21" s="22">
        <v>0</v>
      </c>
      <c r="J21" s="22"/>
    </row>
    <row r="22" spans="2:10" ht="12.75" hidden="1">
      <c r="B22" s="1" t="s">
        <v>24</v>
      </c>
      <c r="G22" s="22">
        <v>0</v>
      </c>
      <c r="J22" s="22"/>
    </row>
    <row r="23" spans="6:10" ht="13.5" customHeight="1" thickBot="1">
      <c r="F23" s="19"/>
      <c r="G23" s="23"/>
      <c r="J23" s="22"/>
    </row>
    <row r="24" spans="1:7" ht="13.5" customHeight="1" thickTop="1">
      <c r="A24" s="13" t="s">
        <v>25</v>
      </c>
      <c r="B24" s="24"/>
      <c r="C24" s="15"/>
      <c r="D24" s="15"/>
      <c r="E24" s="15"/>
      <c r="F24" s="16" t="s">
        <v>12</v>
      </c>
      <c r="G24" s="25">
        <f>(SellingPrice-G11)-SUM(G12:G22)</f>
        <v>10813098.2157</v>
      </c>
    </row>
    <row r="25" spans="1:9" ht="12.75">
      <c r="A25" s="1" t="s">
        <v>26</v>
      </c>
      <c r="B25" s="1" t="s">
        <v>14</v>
      </c>
      <c r="G25" s="22">
        <f>ROUND(IF(ISERROR(FIND("PARKING",Model,1)),IF(G24&gt;3199200,G24*12%,0),G24*12%),2)</f>
        <v>1297571.79</v>
      </c>
      <c r="I25" s="22"/>
    </row>
    <row r="26" spans="1:7" ht="12.75" hidden="1">
      <c r="A26" s="21">
        <v>7</v>
      </c>
      <c r="B26" s="1" t="s">
        <v>27</v>
      </c>
      <c r="G26" s="22">
        <f>ROUND(G24*(A26/100),2)</f>
        <v>756916.88</v>
      </c>
    </row>
    <row r="27" spans="1:7" ht="12.75" hidden="1">
      <c r="A27" s="21"/>
      <c r="B27" s="1" t="s">
        <v>28</v>
      </c>
      <c r="F27" s="21">
        <f>IF(G27&gt;50000,50000,G27)</f>
        <v>0</v>
      </c>
      <c r="G27" s="22">
        <v>0</v>
      </c>
    </row>
    <row r="28" spans="1:7" ht="12.75" hidden="1">
      <c r="A28" s="21"/>
      <c r="B28" s="1" t="s">
        <v>29</v>
      </c>
      <c r="G28" s="22">
        <v>0</v>
      </c>
    </row>
    <row r="29" spans="1:7" ht="13.5" customHeight="1" thickBot="1">
      <c r="A29" s="21"/>
      <c r="B29" s="1" t="s">
        <v>27</v>
      </c>
      <c r="G29" s="22">
        <f>ROUND(SUM(G26,G28,F27),2)</f>
        <v>756916.88</v>
      </c>
    </row>
    <row r="30" spans="1:7" ht="13.5" customHeight="1" thickTop="1">
      <c r="A30" s="13" t="s">
        <v>30</v>
      </c>
      <c r="B30" s="15"/>
      <c r="C30" s="15"/>
      <c r="D30" s="15"/>
      <c r="E30" s="15"/>
      <c r="F30" s="16" t="s">
        <v>12</v>
      </c>
      <c r="G30" s="25">
        <f>G24+SUM(G25,G29)</f>
        <v>12867586.8857</v>
      </c>
    </row>
    <row r="32" ht="12.75">
      <c r="A32" s="26" t="s">
        <v>31</v>
      </c>
    </row>
    <row r="33" spans="1:7" ht="12.75">
      <c r="A33" s="27">
        <v>20</v>
      </c>
      <c r="B33" s="1" t="str">
        <f>CONCATENATE("Downpayment ("&amp;A33&amp;"% of Selling Price)")</f>
        <v>Downpayment (20% of Selling Price)</v>
      </c>
      <c r="G33" s="22">
        <f>ROUND((G24+G25)*(A33/100),2)</f>
        <v>2422134</v>
      </c>
    </row>
    <row r="34" spans="1:7" ht="13.5" customHeight="1" thickBot="1">
      <c r="A34" s="26"/>
      <c r="B34" s="1" t="s">
        <v>32</v>
      </c>
      <c r="G34" s="22">
        <f>ROUND(G29*(A33/100),2)</f>
        <v>151383.38</v>
      </c>
    </row>
    <row r="35" spans="1:7" ht="13.5" customHeight="1" thickTop="1">
      <c r="A35" s="13" t="s">
        <v>33</v>
      </c>
      <c r="B35" s="15"/>
      <c r="C35" s="15"/>
      <c r="D35" s="15"/>
      <c r="E35" s="15"/>
      <c r="F35" s="16" t="s">
        <v>12</v>
      </c>
      <c r="G35" s="25">
        <f>SUM(G33:G34)</f>
        <v>2573517.38</v>
      </c>
    </row>
    <row r="36" spans="1:7" ht="13.5" customHeight="1" thickBot="1">
      <c r="A36" s="1" t="s">
        <v>13</v>
      </c>
      <c r="B36" s="1" t="s">
        <v>34</v>
      </c>
      <c r="F36" s="28">
        <f ca="1">NOW()</f>
        <v>43775.44727094907</v>
      </c>
      <c r="G36" s="22">
        <v>20000</v>
      </c>
    </row>
    <row r="37" spans="1:7" ht="13.5" customHeight="1" thickTop="1">
      <c r="A37" s="13" t="s">
        <v>35</v>
      </c>
      <c r="B37" s="15"/>
      <c r="C37" s="15"/>
      <c r="D37" s="15"/>
      <c r="E37" s="29"/>
      <c r="F37" s="16" t="s">
        <v>12</v>
      </c>
      <c r="G37" s="25">
        <f>G35-G36</f>
        <v>2553517.38</v>
      </c>
    </row>
    <row r="39" spans="1:10" ht="12.75">
      <c r="A39" s="21">
        <v>10</v>
      </c>
      <c r="B39" s="1" t="str">
        <f>CONCATENATE("Spot Downpayment ("&amp;A39&amp;"% of Selling Price)")</f>
        <v>Spot Downpayment (10% of Selling Price)</v>
      </c>
      <c r="E39" s="30"/>
      <c r="F39" s="28"/>
      <c r="G39" s="22">
        <f>ROUND((SUM(G24:G25)*(A39/100))-G36,2)</f>
        <v>1191067</v>
      </c>
      <c r="H39" s="22"/>
      <c r="I39" s="22"/>
      <c r="J39" s="31"/>
    </row>
    <row r="40" spans="2:10" ht="13.5" customHeight="1" thickBot="1">
      <c r="B40" s="1" t="s">
        <v>27</v>
      </c>
      <c r="E40" s="30"/>
      <c r="F40" s="28"/>
      <c r="G40" s="22">
        <f>ROUND(G29*(A39/100),2)</f>
        <v>75691.69</v>
      </c>
      <c r="J40" s="22"/>
    </row>
    <row r="41" spans="2:7" ht="13.5" customHeight="1" thickTop="1">
      <c r="B41" s="32" t="s">
        <v>36</v>
      </c>
      <c r="E41" s="30"/>
      <c r="F41" s="28">
        <f>ReservationDate+19</f>
        <v>43794.44727094907</v>
      </c>
      <c r="G41" s="33">
        <f>SUM(G39:G40)</f>
        <v>1266758.69</v>
      </c>
    </row>
    <row r="42" spans="2:7" ht="12.75">
      <c r="B42" s="34"/>
      <c r="E42" s="30"/>
      <c r="F42" s="28"/>
      <c r="G42" s="35"/>
    </row>
    <row r="43" spans="1:7" ht="12.75">
      <c r="A43" s="21">
        <f>A33-A39</f>
        <v>10</v>
      </c>
      <c r="B43" s="36" t="str">
        <f>CONCATENATE("Streched Downpayment ("&amp;A43&amp;"% of Selling Price)")</f>
        <v>Streched Downpayment (10% of Selling Price)</v>
      </c>
      <c r="E43" s="30"/>
      <c r="F43" s="28"/>
      <c r="G43" s="22">
        <f>G33-G39-ReservationFee</f>
        <v>1211067</v>
      </c>
    </row>
    <row r="44" spans="2:7" ht="13.5" customHeight="1" thickBot="1">
      <c r="B44" s="36" t="s">
        <v>27</v>
      </c>
      <c r="E44" s="30"/>
      <c r="F44" s="28"/>
      <c r="G44" s="22">
        <f>SUM(G34:G34)-G40</f>
        <v>75691.69</v>
      </c>
    </row>
    <row r="45" spans="2:7" ht="13.5" customHeight="1" thickTop="1">
      <c r="B45" s="32" t="str">
        <f>CONCATENATE("Total Streched DP and Other Charges payable in "&amp;A47&amp;" months")</f>
        <v>Total Streched DP and Other Charges payable in 24 months</v>
      </c>
      <c r="E45" s="30"/>
      <c r="F45" s="28"/>
      <c r="G45" s="33">
        <f>SUM(G43:G44)</f>
        <v>1286758.69</v>
      </c>
    </row>
    <row r="46" spans="2:7" ht="12.75">
      <c r="B46" s="36"/>
      <c r="E46" s="30"/>
      <c r="F46" s="28"/>
      <c r="G46" s="35"/>
    </row>
    <row r="47" spans="1:7" ht="25.5" customHeight="1">
      <c r="A47" s="37">
        <v>24</v>
      </c>
      <c r="B47" s="156" t="s">
        <v>37</v>
      </c>
      <c r="C47" s="156"/>
      <c r="D47" s="38" t="s">
        <v>38</v>
      </c>
      <c r="E47" s="39" t="s">
        <v>39</v>
      </c>
      <c r="F47" s="40" t="s">
        <v>27</v>
      </c>
      <c r="G47" s="41" t="s">
        <v>40</v>
      </c>
    </row>
    <row r="48" spans="1:7" ht="12.75">
      <c r="A48" s="155" t="s">
        <v>41</v>
      </c>
      <c r="B48" s="155"/>
      <c r="C48" s="155"/>
      <c r="D48" s="42">
        <f>IF(AND(DAY(F41)&gt;2,DAY(F41)&lt;19),DATE(YEAR(F41+30),MONTH(F41+30),DAY(17)),DATE(YEAR(F41+30),IF(DAY(F41)&gt;18,MONTH(F41+30)+1,MONTH(F41+30)),DAY(2)))</f>
        <v>43832</v>
      </c>
      <c r="E48" s="20">
        <f>ROUND(G43/A47,2)</f>
        <v>50461.13</v>
      </c>
      <c r="F48" s="43">
        <f>ROUND(G44/A47,2)</f>
        <v>3153.82</v>
      </c>
      <c r="G48" s="22">
        <f>SUM(E48:F48)</f>
        <v>53614.95</v>
      </c>
    </row>
    <row r="49" spans="1:7" ht="12.75">
      <c r="A49" s="155" t="s">
        <v>42</v>
      </c>
      <c r="B49" s="155"/>
      <c r="C49" s="155"/>
      <c r="D49" s="42">
        <f>IF($A$47&lt;VALUE(LEFT(A49,1))," ",DATE(YEAR(D48+30),MONTH(D48+30),DAY(D48)))</f>
        <v>43863</v>
      </c>
      <c r="E49" s="20">
        <f>IF($A$47&lt;VALUE(LEFT(A49,1))," ",IF($A$47=VALUE(LEFT(A49,1)),$G$43-($E$48*($A$47-1)),E48))</f>
        <v>50461.13</v>
      </c>
      <c r="F49" s="43">
        <f>IF($A$47&lt;VALUE(LEFT(A49,1))," ",IF($A$47=VALUE(LEFT(A49,1)),$G$44-($F$48*($A$47-1)),F48))</f>
        <v>3153.82</v>
      </c>
      <c r="G49" s="22">
        <f>IF($A$47&lt;VALUE(LEFT(A49,1))," ",SUM(E49:F49))</f>
        <v>53614.95</v>
      </c>
    </row>
    <row r="50" spans="1:7" ht="12.75">
      <c r="A50" s="155" t="s">
        <v>43</v>
      </c>
      <c r="B50" s="155"/>
      <c r="C50" s="155"/>
      <c r="D50" s="42">
        <f>IF($A$47&lt;VALUE(LEFT(A50,1))," ",DATE(YEAR(D49+30),MONTH(D49+30),DAY(D49)))</f>
        <v>43892</v>
      </c>
      <c r="E50" s="20">
        <f aca="true" t="shared" si="0" ref="E50:E56">IF($A$47&lt;VALUE(LEFT(A50,1))," ",IF($A$47=VALUE(LEFT(A50,1)),$G$43-($E$48*($A$47-1)),E49))</f>
        <v>50461.13</v>
      </c>
      <c r="F50" s="43">
        <f aca="true" t="shared" si="1" ref="F50:F56">IF($A$47&lt;VALUE(LEFT(A50,1))," ",IF($A$47=VALUE(LEFT(A50,1)),$G$44-($F$48*($A$47-1)),F49))</f>
        <v>3153.82</v>
      </c>
      <c r="G50" s="22">
        <f aca="true" t="shared" si="2" ref="G50:G56">IF($A$47&lt;VALUE(LEFT(A50,1))," ",SUM(E50:F50))</f>
        <v>53614.95</v>
      </c>
    </row>
    <row r="51" spans="1:7" ht="12.75">
      <c r="A51" s="155" t="s">
        <v>44</v>
      </c>
      <c r="B51" s="155"/>
      <c r="C51" s="155"/>
      <c r="D51" s="42">
        <f aca="true" t="shared" si="3" ref="D51:D56">IF($A$47&lt;VALUE(LEFT(A51,1))," ",DATE(YEAR(D50+30),MONTH(D50+30),DAY(D50)))</f>
        <v>43923</v>
      </c>
      <c r="E51" s="20">
        <f t="shared" si="0"/>
        <v>50461.13</v>
      </c>
      <c r="F51" s="43">
        <f t="shared" si="1"/>
        <v>3153.82</v>
      </c>
      <c r="G51" s="22">
        <f t="shared" si="2"/>
        <v>53614.95</v>
      </c>
    </row>
    <row r="52" spans="1:7" ht="12.75">
      <c r="A52" s="155" t="s">
        <v>45</v>
      </c>
      <c r="B52" s="155"/>
      <c r="C52" s="155"/>
      <c r="D52" s="42">
        <f t="shared" si="3"/>
        <v>43953</v>
      </c>
      <c r="E52" s="20">
        <f t="shared" si="0"/>
        <v>50461.13</v>
      </c>
      <c r="F52" s="43">
        <f t="shared" si="1"/>
        <v>3153.82</v>
      </c>
      <c r="G52" s="22">
        <f t="shared" si="2"/>
        <v>53614.95</v>
      </c>
    </row>
    <row r="53" spans="1:7" ht="12.75">
      <c r="A53" s="155" t="s">
        <v>46</v>
      </c>
      <c r="B53" s="155"/>
      <c r="C53" s="155"/>
      <c r="D53" s="42">
        <f t="shared" si="3"/>
        <v>43984</v>
      </c>
      <c r="E53" s="20">
        <f t="shared" si="0"/>
        <v>50461.13</v>
      </c>
      <c r="F53" s="43">
        <f t="shared" si="1"/>
        <v>3153.82</v>
      </c>
      <c r="G53" s="22">
        <f t="shared" si="2"/>
        <v>53614.95</v>
      </c>
    </row>
    <row r="54" spans="1:7" ht="12.75">
      <c r="A54" s="155" t="s">
        <v>47</v>
      </c>
      <c r="B54" s="155"/>
      <c r="C54" s="155"/>
      <c r="D54" s="42">
        <f t="shared" si="3"/>
        <v>44014</v>
      </c>
      <c r="E54" s="20">
        <f t="shared" si="0"/>
        <v>50461.13</v>
      </c>
      <c r="F54" s="43">
        <f t="shared" si="1"/>
        <v>3153.82</v>
      </c>
      <c r="G54" s="22">
        <f t="shared" si="2"/>
        <v>53614.95</v>
      </c>
    </row>
    <row r="55" spans="1:7" ht="12.75">
      <c r="A55" s="155" t="s">
        <v>48</v>
      </c>
      <c r="B55" s="155"/>
      <c r="C55" s="155"/>
      <c r="D55" s="42">
        <f t="shared" si="3"/>
        <v>44045</v>
      </c>
      <c r="E55" s="20">
        <f t="shared" si="0"/>
        <v>50461.13</v>
      </c>
      <c r="F55" s="43">
        <f t="shared" si="1"/>
        <v>3153.82</v>
      </c>
      <c r="G55" s="22">
        <f t="shared" si="2"/>
        <v>53614.95</v>
      </c>
    </row>
    <row r="56" spans="1:7" ht="12.75">
      <c r="A56" s="155" t="s">
        <v>49</v>
      </c>
      <c r="B56" s="155"/>
      <c r="C56" s="155"/>
      <c r="D56" s="42">
        <f t="shared" si="3"/>
        <v>44076</v>
      </c>
      <c r="E56" s="20">
        <f t="shared" si="0"/>
        <v>50461.13</v>
      </c>
      <c r="F56" s="43">
        <f t="shared" si="1"/>
        <v>3153.82</v>
      </c>
      <c r="G56" s="22">
        <f t="shared" si="2"/>
        <v>53614.95</v>
      </c>
    </row>
    <row r="57" spans="1:7" ht="12.75">
      <c r="A57" s="155" t="s">
        <v>50</v>
      </c>
      <c r="B57" s="155"/>
      <c r="C57" s="155"/>
      <c r="D57" s="42">
        <f>IF($A$47&lt;VALUE(LEFT(A57,2))," ",DATE(YEAR(D56+30),MONTH(D56+30),DAY(D56)))</f>
        <v>44106</v>
      </c>
      <c r="E57" s="20">
        <f>IF($A$47&lt;VALUE(LEFT(A57,2))," ",IF($A$47=VALUE(LEFT(A57,2)),$G$43-($E$48*($A$47-1)),E56))</f>
        <v>50461.13</v>
      </c>
      <c r="F57" s="43">
        <f>IF($A$47&lt;VALUE(LEFT(A57,2))," ",IF($A$47=VALUE(LEFT(A57,2)),$G$44-($F$48*($A$47-1)),F56))</f>
        <v>3153.82</v>
      </c>
      <c r="G57" s="22">
        <f>IF($A$47&lt;VALUE(LEFT(A57,2))," ",SUM(E57:F57))</f>
        <v>53614.95</v>
      </c>
    </row>
    <row r="58" spans="1:7" ht="12.75">
      <c r="A58" s="155" t="s">
        <v>51</v>
      </c>
      <c r="B58" s="155"/>
      <c r="C58" s="155"/>
      <c r="D58" s="42">
        <f aca="true" t="shared" si="4" ref="D58:D82">IF($A$47&lt;VALUE(LEFT(A58,2))," ",DATE(YEAR(D57+30),MONTH(D57+30),DAY(D57)))</f>
        <v>44137</v>
      </c>
      <c r="E58" s="20">
        <f aca="true" t="shared" si="5" ref="E58:E82">IF($A$47&lt;VALUE(LEFT(A58,2))," ",IF($A$47=VALUE(LEFT(A58,2)),$G$43-($E$48*($A$47-1)),E57))</f>
        <v>50461.13</v>
      </c>
      <c r="F58" s="43">
        <f aca="true" t="shared" si="6" ref="F58:F82">IF($A$47&lt;VALUE(LEFT(A58,2))," ",IF($A$47=VALUE(LEFT(A58,2)),$G$44-($F$48*($A$47-1)),F57))</f>
        <v>3153.82</v>
      </c>
      <c r="G58" s="22">
        <f aca="true" t="shared" si="7" ref="G58:G82">IF($A$47&lt;VALUE(LEFT(A58,2))," ",SUM(E58:F58))</f>
        <v>53614.95</v>
      </c>
    </row>
    <row r="59" spans="1:7" ht="12.75">
      <c r="A59" s="155" t="s">
        <v>52</v>
      </c>
      <c r="B59" s="155"/>
      <c r="C59" s="155"/>
      <c r="D59" s="42">
        <f t="shared" si="4"/>
        <v>44167</v>
      </c>
      <c r="E59" s="20">
        <f t="shared" si="5"/>
        <v>50461.13</v>
      </c>
      <c r="F59" s="43">
        <f t="shared" si="6"/>
        <v>3153.82</v>
      </c>
      <c r="G59" s="22">
        <f t="shared" si="7"/>
        <v>53614.95</v>
      </c>
    </row>
    <row r="60" spans="1:7" ht="12.75">
      <c r="A60" s="155" t="s">
        <v>53</v>
      </c>
      <c r="B60" s="155"/>
      <c r="C60" s="155"/>
      <c r="D60" s="42">
        <f t="shared" si="4"/>
        <v>44198</v>
      </c>
      <c r="E60" s="20">
        <f t="shared" si="5"/>
        <v>50461.13</v>
      </c>
      <c r="F60" s="43">
        <f t="shared" si="6"/>
        <v>3153.82</v>
      </c>
      <c r="G60" s="22">
        <f t="shared" si="7"/>
        <v>53614.95</v>
      </c>
    </row>
    <row r="61" spans="1:7" ht="12.75">
      <c r="A61" s="155" t="s">
        <v>54</v>
      </c>
      <c r="B61" s="155"/>
      <c r="C61" s="155"/>
      <c r="D61" s="42">
        <f t="shared" si="4"/>
        <v>44229</v>
      </c>
      <c r="E61" s="20">
        <f t="shared" si="5"/>
        <v>50461.13</v>
      </c>
      <c r="F61" s="43">
        <f t="shared" si="6"/>
        <v>3153.82</v>
      </c>
      <c r="G61" s="22">
        <f t="shared" si="7"/>
        <v>53614.95</v>
      </c>
    </row>
    <row r="62" spans="1:7" ht="12.75">
      <c r="A62" s="155" t="s">
        <v>55</v>
      </c>
      <c r="B62" s="155"/>
      <c r="C62" s="155"/>
      <c r="D62" s="42">
        <f t="shared" si="4"/>
        <v>44257</v>
      </c>
      <c r="E62" s="20">
        <f t="shared" si="5"/>
        <v>50461.13</v>
      </c>
      <c r="F62" s="43">
        <f t="shared" si="6"/>
        <v>3153.82</v>
      </c>
      <c r="G62" s="22">
        <f t="shared" si="7"/>
        <v>53614.95</v>
      </c>
    </row>
    <row r="63" spans="1:7" ht="12.75">
      <c r="A63" s="155" t="s">
        <v>56</v>
      </c>
      <c r="B63" s="155"/>
      <c r="C63" s="155"/>
      <c r="D63" s="42">
        <f t="shared" si="4"/>
        <v>44288</v>
      </c>
      <c r="E63" s="20">
        <f t="shared" si="5"/>
        <v>50461.13</v>
      </c>
      <c r="F63" s="43">
        <f t="shared" si="6"/>
        <v>3153.82</v>
      </c>
      <c r="G63" s="22">
        <f t="shared" si="7"/>
        <v>53614.95</v>
      </c>
    </row>
    <row r="64" spans="1:7" ht="12.75">
      <c r="A64" s="155" t="s">
        <v>57</v>
      </c>
      <c r="B64" s="155"/>
      <c r="C64" s="155"/>
      <c r="D64" s="42">
        <f t="shared" si="4"/>
        <v>44318</v>
      </c>
      <c r="E64" s="20">
        <f t="shared" si="5"/>
        <v>50461.13</v>
      </c>
      <c r="F64" s="43">
        <f t="shared" si="6"/>
        <v>3153.82</v>
      </c>
      <c r="G64" s="22">
        <f t="shared" si="7"/>
        <v>53614.95</v>
      </c>
    </row>
    <row r="65" spans="1:7" ht="12.75">
      <c r="A65" s="155" t="s">
        <v>58</v>
      </c>
      <c r="B65" s="155"/>
      <c r="C65" s="155"/>
      <c r="D65" s="42">
        <f t="shared" si="4"/>
        <v>44349</v>
      </c>
      <c r="E65" s="20">
        <f t="shared" si="5"/>
        <v>50461.13</v>
      </c>
      <c r="F65" s="43">
        <f t="shared" si="6"/>
        <v>3153.82</v>
      </c>
      <c r="G65" s="22">
        <f t="shared" si="7"/>
        <v>53614.95</v>
      </c>
    </row>
    <row r="66" spans="1:7" ht="12.75">
      <c r="A66" s="155" t="s">
        <v>59</v>
      </c>
      <c r="B66" s="155"/>
      <c r="C66" s="155"/>
      <c r="D66" s="42">
        <f t="shared" si="4"/>
        <v>44379</v>
      </c>
      <c r="E66" s="20">
        <f t="shared" si="5"/>
        <v>50461.13</v>
      </c>
      <c r="F66" s="43">
        <f t="shared" si="6"/>
        <v>3153.82</v>
      </c>
      <c r="G66" s="22">
        <f t="shared" si="7"/>
        <v>53614.95</v>
      </c>
    </row>
    <row r="67" spans="1:7" ht="12.75">
      <c r="A67" s="155" t="s">
        <v>60</v>
      </c>
      <c r="B67" s="155"/>
      <c r="C67" s="155"/>
      <c r="D67" s="42">
        <f t="shared" si="4"/>
        <v>44410</v>
      </c>
      <c r="E67" s="20">
        <f t="shared" si="5"/>
        <v>50461.13</v>
      </c>
      <c r="F67" s="43">
        <f t="shared" si="6"/>
        <v>3153.82</v>
      </c>
      <c r="G67" s="22">
        <f t="shared" si="7"/>
        <v>53614.95</v>
      </c>
    </row>
    <row r="68" spans="1:7" ht="12.75">
      <c r="A68" s="155" t="s">
        <v>61</v>
      </c>
      <c r="B68" s="155"/>
      <c r="C68" s="155"/>
      <c r="D68" s="42">
        <f t="shared" si="4"/>
        <v>44441</v>
      </c>
      <c r="E68" s="20">
        <f t="shared" si="5"/>
        <v>50461.13</v>
      </c>
      <c r="F68" s="43">
        <f t="shared" si="6"/>
        <v>3153.82</v>
      </c>
      <c r="G68" s="22">
        <f t="shared" si="7"/>
        <v>53614.95</v>
      </c>
    </row>
    <row r="69" spans="1:7" ht="12.75">
      <c r="A69" s="155" t="s">
        <v>62</v>
      </c>
      <c r="B69" s="155"/>
      <c r="C69" s="155"/>
      <c r="D69" s="42">
        <f t="shared" si="4"/>
        <v>44471</v>
      </c>
      <c r="E69" s="20">
        <f t="shared" si="5"/>
        <v>50461.13</v>
      </c>
      <c r="F69" s="43">
        <f t="shared" si="6"/>
        <v>3153.82</v>
      </c>
      <c r="G69" s="22">
        <f t="shared" si="7"/>
        <v>53614.95</v>
      </c>
    </row>
    <row r="70" spans="1:7" ht="12.75">
      <c r="A70" s="155" t="s">
        <v>63</v>
      </c>
      <c r="B70" s="155"/>
      <c r="C70" s="155"/>
      <c r="D70" s="42">
        <f t="shared" si="4"/>
        <v>44502</v>
      </c>
      <c r="E70" s="20">
        <f t="shared" si="5"/>
        <v>50461.13</v>
      </c>
      <c r="F70" s="43">
        <f t="shared" si="6"/>
        <v>3153.82</v>
      </c>
      <c r="G70" s="22">
        <f t="shared" si="7"/>
        <v>53614.95</v>
      </c>
    </row>
    <row r="71" spans="1:7" ht="12.75">
      <c r="A71" s="155" t="s">
        <v>64</v>
      </c>
      <c r="B71" s="155"/>
      <c r="C71" s="155"/>
      <c r="D71" s="42">
        <f t="shared" si="4"/>
        <v>44532</v>
      </c>
      <c r="E71" s="20">
        <f t="shared" si="5"/>
        <v>50461.01000000001</v>
      </c>
      <c r="F71" s="43">
        <f t="shared" si="6"/>
        <v>3153.8300000000017</v>
      </c>
      <c r="G71" s="22">
        <f t="shared" si="7"/>
        <v>53614.84000000001</v>
      </c>
    </row>
    <row r="72" spans="1:7" ht="12.75" hidden="1">
      <c r="A72" s="155" t="s">
        <v>65</v>
      </c>
      <c r="B72" s="155"/>
      <c r="C72" s="155"/>
      <c r="D72" s="42" t="str">
        <f t="shared" si="4"/>
        <v> </v>
      </c>
      <c r="E72" s="20" t="str">
        <f t="shared" si="5"/>
        <v> </v>
      </c>
      <c r="F72" s="43" t="str">
        <f t="shared" si="6"/>
        <v> </v>
      </c>
      <c r="G72" s="22" t="str">
        <f t="shared" si="7"/>
        <v> </v>
      </c>
    </row>
    <row r="73" spans="1:7" ht="12.75" hidden="1">
      <c r="A73" s="155" t="s">
        <v>66</v>
      </c>
      <c r="B73" s="155"/>
      <c r="C73" s="155"/>
      <c r="D73" s="42" t="str">
        <f t="shared" si="4"/>
        <v> </v>
      </c>
      <c r="E73" s="20" t="str">
        <f t="shared" si="5"/>
        <v> </v>
      </c>
      <c r="F73" s="43" t="str">
        <f t="shared" si="6"/>
        <v> </v>
      </c>
      <c r="G73" s="22" t="str">
        <f t="shared" si="7"/>
        <v> </v>
      </c>
    </row>
    <row r="74" spans="1:7" ht="12.75" hidden="1">
      <c r="A74" s="155" t="s">
        <v>67</v>
      </c>
      <c r="B74" s="155"/>
      <c r="C74" s="155"/>
      <c r="D74" s="42" t="str">
        <f t="shared" si="4"/>
        <v> </v>
      </c>
      <c r="E74" s="20" t="str">
        <f t="shared" si="5"/>
        <v> </v>
      </c>
      <c r="F74" s="43" t="str">
        <f t="shared" si="6"/>
        <v> </v>
      </c>
      <c r="G74" s="22" t="str">
        <f t="shared" si="7"/>
        <v> </v>
      </c>
    </row>
    <row r="75" spans="1:7" ht="12.75" hidden="1">
      <c r="A75" s="155" t="s">
        <v>68</v>
      </c>
      <c r="B75" s="155"/>
      <c r="C75" s="155"/>
      <c r="D75" s="42" t="str">
        <f t="shared" si="4"/>
        <v> </v>
      </c>
      <c r="E75" s="20" t="str">
        <f t="shared" si="5"/>
        <v> </v>
      </c>
      <c r="F75" s="43" t="str">
        <f t="shared" si="6"/>
        <v> </v>
      </c>
      <c r="G75" s="22" t="str">
        <f t="shared" si="7"/>
        <v> </v>
      </c>
    </row>
    <row r="76" spans="1:7" ht="12.75" hidden="1">
      <c r="A76" s="155" t="s">
        <v>69</v>
      </c>
      <c r="B76" s="155"/>
      <c r="C76" s="155"/>
      <c r="D76" s="42" t="str">
        <f t="shared" si="4"/>
        <v> </v>
      </c>
      <c r="E76" s="20" t="str">
        <f t="shared" si="5"/>
        <v> </v>
      </c>
      <c r="F76" s="43" t="str">
        <f t="shared" si="6"/>
        <v> </v>
      </c>
      <c r="G76" s="22" t="str">
        <f t="shared" si="7"/>
        <v> </v>
      </c>
    </row>
    <row r="77" spans="1:7" ht="12.75" hidden="1">
      <c r="A77" s="155" t="s">
        <v>70</v>
      </c>
      <c r="B77" s="155"/>
      <c r="C77" s="155"/>
      <c r="D77" s="42" t="str">
        <f t="shared" si="4"/>
        <v> </v>
      </c>
      <c r="E77" s="20" t="str">
        <f t="shared" si="5"/>
        <v> </v>
      </c>
      <c r="F77" s="43" t="str">
        <f t="shared" si="6"/>
        <v> </v>
      </c>
      <c r="G77" s="22" t="str">
        <f t="shared" si="7"/>
        <v> </v>
      </c>
    </row>
    <row r="78" spans="1:7" ht="12.75" hidden="1">
      <c r="A78" s="155" t="s">
        <v>71</v>
      </c>
      <c r="B78" s="155"/>
      <c r="C78" s="155"/>
      <c r="D78" s="42" t="str">
        <f t="shared" si="4"/>
        <v> </v>
      </c>
      <c r="E78" s="20" t="str">
        <f t="shared" si="5"/>
        <v> </v>
      </c>
      <c r="F78" s="43" t="str">
        <f t="shared" si="6"/>
        <v> </v>
      </c>
      <c r="G78" s="22" t="str">
        <f t="shared" si="7"/>
        <v> </v>
      </c>
    </row>
    <row r="79" spans="1:7" ht="12.75" hidden="1">
      <c r="A79" s="155" t="s">
        <v>72</v>
      </c>
      <c r="B79" s="155"/>
      <c r="C79" s="155"/>
      <c r="D79" s="42" t="str">
        <f t="shared" si="4"/>
        <v> </v>
      </c>
      <c r="E79" s="20" t="str">
        <f t="shared" si="5"/>
        <v> </v>
      </c>
      <c r="F79" s="43" t="str">
        <f t="shared" si="6"/>
        <v> </v>
      </c>
      <c r="G79" s="22" t="str">
        <f t="shared" si="7"/>
        <v> </v>
      </c>
    </row>
    <row r="80" spans="1:7" ht="12.75" hidden="1">
      <c r="A80" s="155" t="s">
        <v>73</v>
      </c>
      <c r="B80" s="155"/>
      <c r="C80" s="155"/>
      <c r="D80" s="42" t="str">
        <f t="shared" si="4"/>
        <v> </v>
      </c>
      <c r="E80" s="20" t="str">
        <f t="shared" si="5"/>
        <v> </v>
      </c>
      <c r="F80" s="43" t="str">
        <f t="shared" si="6"/>
        <v> </v>
      </c>
      <c r="G80" s="22" t="str">
        <f t="shared" si="7"/>
        <v> </v>
      </c>
    </row>
    <row r="81" spans="1:7" ht="12.75" hidden="1">
      <c r="A81" s="155" t="s">
        <v>74</v>
      </c>
      <c r="B81" s="155"/>
      <c r="C81" s="155"/>
      <c r="D81" s="42" t="str">
        <f t="shared" si="4"/>
        <v> </v>
      </c>
      <c r="E81" s="20" t="str">
        <f t="shared" si="5"/>
        <v> </v>
      </c>
      <c r="F81" s="43" t="str">
        <f t="shared" si="6"/>
        <v> </v>
      </c>
      <c r="G81" s="22" t="str">
        <f t="shared" si="7"/>
        <v> </v>
      </c>
    </row>
    <row r="82" spans="1:7" ht="12.75" hidden="1">
      <c r="A82" s="155" t="s">
        <v>75</v>
      </c>
      <c r="B82" s="155"/>
      <c r="C82" s="155"/>
      <c r="D82" s="42" t="str">
        <f t="shared" si="4"/>
        <v> </v>
      </c>
      <c r="E82" s="20" t="str">
        <f t="shared" si="5"/>
        <v> </v>
      </c>
      <c r="F82" s="43" t="str">
        <f t="shared" si="6"/>
        <v> </v>
      </c>
      <c r="G82" s="22" t="str">
        <f t="shared" si="7"/>
        <v> </v>
      </c>
    </row>
    <row r="83" spans="1:7" ht="12.75" hidden="1">
      <c r="A83" s="155" t="s">
        <v>76</v>
      </c>
      <c r="B83" s="155"/>
      <c r="C83" s="155"/>
      <c r="D83" s="42" t="str">
        <f>IF($A$47&lt;VALUE(LEFT(A83,2))," ",DATE(YEAR(D82+30),MONTH(D82+30),DAY(D82)))</f>
        <v> </v>
      </c>
      <c r="E83" s="20" t="str">
        <f>IF($A$47&lt;VALUE(LEFT(A83,2))," ",IF($A$47=VALUE(LEFT(A83,2)),$G$43-($E$48*($A$47-1)),E82))</f>
        <v> </v>
      </c>
      <c r="F83" s="43" t="str">
        <f>IF($A$47&lt;VALUE(LEFT(A83,2))," ",IF($A$47=VALUE(LEFT(A83,2)),$G$44-($F$48*($A$47-1)),F82))</f>
        <v> </v>
      </c>
      <c r="G83" s="22" t="str">
        <f>IF($A$47&lt;VALUE(LEFT(A83,2))," ",SUM(E83:F83))</f>
        <v> </v>
      </c>
    </row>
    <row r="84" spans="2:7" ht="12.75">
      <c r="B84" s="34"/>
      <c r="E84" s="30"/>
      <c r="F84" s="28"/>
      <c r="G84" s="35"/>
    </row>
    <row r="85" ht="12.75">
      <c r="A85" s="26" t="s">
        <v>77</v>
      </c>
    </row>
    <row r="86" spans="2:6" ht="12.75">
      <c r="B86" s="1" t="s">
        <v>78</v>
      </c>
      <c r="F86" s="44">
        <f>D66</f>
        <v>44379</v>
      </c>
    </row>
    <row r="87" spans="2:9" ht="12.75">
      <c r="B87" s="1" t="s">
        <v>79</v>
      </c>
      <c r="F87" s="44">
        <f>DATE(YEAR(MAX(D48:D71)+30),MONTH(MAX(D48:D71)+30),DAY(F86))</f>
        <v>44563</v>
      </c>
      <c r="G87" s="45">
        <f>ROUND(((G24+G25)*((100-A33)/100))+(G29*(100-A33)/100),2)</f>
        <v>10294069.51</v>
      </c>
      <c r="I87" s="22"/>
    </row>
    <row r="88" ht="12.75">
      <c r="B88" s="1" t="s">
        <v>80</v>
      </c>
    </row>
    <row r="90" spans="1:4" ht="12.75">
      <c r="A90" s="32" t="s">
        <v>81</v>
      </c>
      <c r="B90" s="46"/>
      <c r="C90" s="46"/>
      <c r="D90" s="46"/>
    </row>
    <row r="91" spans="1:7" ht="12.75">
      <c r="A91" s="128" t="s">
        <v>119</v>
      </c>
      <c r="B91" s="128"/>
      <c r="C91" s="128"/>
      <c r="D91" s="128"/>
      <c r="E91" s="128"/>
      <c r="F91" s="128"/>
      <c r="G91" s="128"/>
    </row>
    <row r="92" spans="1:4" ht="12.75">
      <c r="A92" s="46" t="s">
        <v>82</v>
      </c>
      <c r="B92" s="46"/>
      <c r="C92" s="46"/>
      <c r="D92" s="46"/>
    </row>
    <row r="93" spans="1:4" ht="12.75">
      <c r="A93" s="46" t="s">
        <v>83</v>
      </c>
      <c r="B93" s="46"/>
      <c r="C93" s="46"/>
      <c r="D93" s="46"/>
    </row>
    <row r="94" spans="1:4" ht="12.75">
      <c r="A94" s="46" t="s">
        <v>84</v>
      </c>
      <c r="B94" s="46"/>
      <c r="C94" s="46"/>
      <c r="D94" s="46"/>
    </row>
    <row r="95" spans="1:4" ht="12.75">
      <c r="A95" s="47" t="s">
        <v>85</v>
      </c>
      <c r="B95" s="46"/>
      <c r="C95" s="46"/>
      <c r="D95" s="46"/>
    </row>
    <row r="96" spans="1:4" ht="12.75">
      <c r="A96" s="47" t="s">
        <v>86</v>
      </c>
      <c r="B96" s="46"/>
      <c r="C96" s="46"/>
      <c r="D96" s="46"/>
    </row>
    <row r="97" spans="1:4" ht="12.75">
      <c r="A97" s="47" t="s">
        <v>87</v>
      </c>
      <c r="B97" s="46"/>
      <c r="C97" s="46"/>
      <c r="D97" s="46"/>
    </row>
    <row r="98" spans="1:4" ht="12.75">
      <c r="A98" s="47" t="s">
        <v>88</v>
      </c>
      <c r="B98" s="46"/>
      <c r="C98" s="46"/>
      <c r="D98" s="46"/>
    </row>
    <row r="99" spans="1:4" ht="12.75">
      <c r="A99" s="47" t="s">
        <v>89</v>
      </c>
      <c r="B99" s="46"/>
      <c r="C99" s="46"/>
      <c r="D99" s="46"/>
    </row>
    <row r="100" spans="1:7" ht="12.75">
      <c r="A100" s="128" t="s">
        <v>118</v>
      </c>
      <c r="B100" s="128"/>
      <c r="C100" s="128"/>
      <c r="D100" s="128"/>
      <c r="E100" s="128"/>
      <c r="F100" s="128"/>
      <c r="G100" s="128"/>
    </row>
  </sheetData>
  <sheetProtection/>
  <mergeCells count="44">
    <mergeCell ref="A91:G91"/>
    <mergeCell ref="A100:G100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B1:F1"/>
    <mergeCell ref="B2:F2"/>
    <mergeCell ref="A3:G3"/>
    <mergeCell ref="F6:G6"/>
    <mergeCell ref="F7:G7"/>
    <mergeCell ref="B47:C47"/>
  </mergeCells>
  <conditionalFormatting sqref="B11 B25">
    <cfRule type="expression" priority="1" dxfId="41" stopIfTrue="1">
      <formula>G11=0</formula>
    </cfRule>
  </conditionalFormatting>
  <conditionalFormatting sqref="A49:C56">
    <cfRule type="expression" priority="2" dxfId="41" stopIfTrue="1">
      <formula>VALUE(NoDPSchedule)&lt;VALUE(LEFT(A49,1))</formula>
    </cfRule>
  </conditionalFormatting>
  <conditionalFormatting sqref="A57:C83">
    <cfRule type="expression" priority="3" dxfId="41" stopIfTrue="1">
      <formula>VALUE(NoDPSchedule)&lt;VALUE(LEFT(A57,2))</formula>
    </cfRule>
  </conditionalFormatting>
  <conditionalFormatting sqref="G11 G25">
    <cfRule type="expression" priority="4" dxfId="41" stopIfTrue="1">
      <formula>G11=0</formula>
    </cfRule>
  </conditionalFormatting>
  <conditionalFormatting sqref="D4">
    <cfRule type="expression" priority="5" dxfId="42" stopIfTrue="1">
      <formula>G5&lt;=TODAY()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107"/>
  <sheetViews>
    <sheetView zoomScalePageLayoutView="0" workbookViewId="0" topLeftCell="A1">
      <selection activeCell="I23" sqref="I23"/>
    </sheetView>
  </sheetViews>
  <sheetFormatPr defaultColWidth="12.375" defaultRowHeight="12.75" customHeight="1"/>
  <cols>
    <col min="1" max="4" width="12.375" style="86" customWidth="1"/>
    <col min="5" max="6" width="14.625" style="86" customWidth="1"/>
    <col min="7" max="7" width="22.125" style="86" customWidth="1"/>
    <col min="8" max="8" width="15.00390625" style="86" hidden="1" customWidth="1"/>
    <col min="9" max="9" width="15.00390625" style="86" customWidth="1"/>
    <col min="10" max="10" width="14.125" style="86" customWidth="1"/>
    <col min="11" max="16384" width="12.375" style="86" customWidth="1"/>
  </cols>
  <sheetData>
    <row r="1" spans="1:7" ht="14.25" customHeight="1" thickTop="1">
      <c r="A1" s="84" t="s">
        <v>123</v>
      </c>
      <c r="B1" s="157" t="s">
        <v>0</v>
      </c>
      <c r="C1" s="157"/>
      <c r="D1" s="157"/>
      <c r="E1" s="157"/>
      <c r="F1" s="157"/>
      <c r="G1" s="85"/>
    </row>
    <row r="2" spans="1:7" ht="14.25" customHeight="1">
      <c r="A2" s="87"/>
      <c r="B2" s="158" t="s">
        <v>1</v>
      </c>
      <c r="C2" s="158"/>
      <c r="D2" s="158"/>
      <c r="E2" s="158"/>
      <c r="F2" s="158"/>
      <c r="G2" s="88"/>
    </row>
    <row r="3" spans="1:7" ht="30" customHeight="1">
      <c r="A3" s="159" t="s">
        <v>2</v>
      </c>
      <c r="B3" s="160"/>
      <c r="C3" s="160"/>
      <c r="D3" s="160"/>
      <c r="E3" s="160"/>
      <c r="F3" s="160"/>
      <c r="G3" s="161"/>
    </row>
    <row r="4" spans="1:7" ht="13.5" customHeight="1" thickBot="1">
      <c r="A4" s="89">
        <f>IF(A43&lt;=12,12,A43)</f>
        <v>36</v>
      </c>
      <c r="B4" s="90"/>
      <c r="C4" s="90"/>
      <c r="D4" s="91" t="str">
        <f>IF(A43&gt;G5,"TERM IS SUBJECT FOR APPROVAL","SAMPLECOMPUTATION ONLY")</f>
        <v>SAMPLECOMPUTATION ONLY</v>
      </c>
      <c r="E4" s="90"/>
      <c r="F4" s="90"/>
      <c r="G4" s="92"/>
    </row>
    <row r="5" ht="13.5" customHeight="1" thickTop="1">
      <c r="G5" s="93">
        <v>42</v>
      </c>
    </row>
    <row r="6" spans="1:7" ht="12.75">
      <c r="A6" s="94" t="s">
        <v>3</v>
      </c>
      <c r="B6" s="94" t="s">
        <v>4</v>
      </c>
      <c r="C6" s="94" t="s">
        <v>5</v>
      </c>
      <c r="D6" s="94" t="s">
        <v>6</v>
      </c>
      <c r="E6" s="94"/>
      <c r="F6" s="162" t="s">
        <v>7</v>
      </c>
      <c r="G6" s="162"/>
    </row>
    <row r="7" spans="1:7" ht="12.75">
      <c r="A7" s="12" t="s">
        <v>8</v>
      </c>
      <c r="B7" s="12">
        <v>401</v>
      </c>
      <c r="C7" s="12">
        <v>4</v>
      </c>
      <c r="D7" s="12">
        <v>61.2</v>
      </c>
      <c r="E7" s="12"/>
      <c r="F7" s="138" t="s">
        <v>122</v>
      </c>
      <c r="G7" s="138"/>
    </row>
    <row r="8" spans="1:7" ht="12.75" customHeight="1">
      <c r="A8" s="1"/>
      <c r="B8" s="1"/>
      <c r="C8" s="1"/>
      <c r="D8" s="1"/>
      <c r="E8" s="1"/>
      <c r="F8" s="1"/>
      <c r="G8" s="1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>
      <c r="A10" s="13" t="s">
        <v>11</v>
      </c>
      <c r="B10" s="13"/>
      <c r="C10" s="14"/>
      <c r="D10" s="15"/>
      <c r="E10" s="15"/>
      <c r="F10" s="16" t="s">
        <v>12</v>
      </c>
      <c r="G10" s="17">
        <v>12233000</v>
      </c>
    </row>
    <row r="11" spans="1:7" ht="12.75">
      <c r="A11" s="86" t="s">
        <v>13</v>
      </c>
      <c r="B11" s="86" t="s">
        <v>14</v>
      </c>
      <c r="C11" s="98"/>
      <c r="F11" s="99"/>
      <c r="G11" s="100">
        <f>ROUND(IF(ISERROR(FIND("PARKING",Model,1)),IF(SellingPrice&gt;3199200,(G10-(G10/1.12)),0),(G10-(G10/1.12))),2)</f>
        <v>1310678.57</v>
      </c>
    </row>
    <row r="12" spans="1:10" ht="12.75">
      <c r="A12" s="101">
        <v>3</v>
      </c>
      <c r="B12" s="86" t="s">
        <v>124</v>
      </c>
      <c r="F12" s="99"/>
      <c r="G12" s="102">
        <f>H23</f>
        <v>327669.6429</v>
      </c>
      <c r="H12" s="103">
        <f>SellingPrice-G11</f>
        <v>10922321.43</v>
      </c>
      <c r="I12" s="102"/>
      <c r="J12" s="102"/>
    </row>
    <row r="13" spans="2:10" ht="12.75" hidden="1">
      <c r="B13" s="86" t="s">
        <v>15</v>
      </c>
      <c r="G13" s="102">
        <v>0</v>
      </c>
      <c r="I13" s="102"/>
      <c r="J13" s="102"/>
    </row>
    <row r="14" spans="2:10" ht="12.75" hidden="1">
      <c r="B14" s="86" t="s">
        <v>16</v>
      </c>
      <c r="G14" s="102">
        <v>0</v>
      </c>
      <c r="I14" s="102"/>
      <c r="J14" s="102"/>
    </row>
    <row r="15" spans="2:9" ht="12.75" hidden="1">
      <c r="B15" s="86" t="s">
        <v>17</v>
      </c>
      <c r="G15" s="102">
        <v>0</v>
      </c>
      <c r="I15" s="102"/>
    </row>
    <row r="16" spans="2:9" ht="12.75" hidden="1">
      <c r="B16" s="86" t="s">
        <v>18</v>
      </c>
      <c r="G16" s="102">
        <v>0</v>
      </c>
      <c r="I16" s="102"/>
    </row>
    <row r="17" spans="2:9" ht="12.75" hidden="1">
      <c r="B17" s="86" t="s">
        <v>19</v>
      </c>
      <c r="G17" s="102">
        <v>0</v>
      </c>
      <c r="I17" s="102"/>
    </row>
    <row r="18" spans="2:10" ht="12.75" hidden="1">
      <c r="B18" s="86" t="s">
        <v>20</v>
      </c>
      <c r="G18" s="102">
        <v>0</v>
      </c>
      <c r="H18" s="102"/>
      <c r="I18" s="102"/>
      <c r="J18" s="102"/>
    </row>
    <row r="19" spans="2:10" ht="12.75" hidden="1">
      <c r="B19" s="86" t="s">
        <v>21</v>
      </c>
      <c r="G19" s="102">
        <v>0</v>
      </c>
      <c r="J19" s="102"/>
    </row>
    <row r="20" spans="2:10" ht="12.75" hidden="1">
      <c r="B20" s="86" t="s">
        <v>22</v>
      </c>
      <c r="G20" s="102">
        <v>0</v>
      </c>
      <c r="J20" s="102"/>
    </row>
    <row r="21" spans="2:10" ht="12.75" hidden="1">
      <c r="B21" s="86" t="s">
        <v>23</v>
      </c>
      <c r="G21" s="102">
        <v>0</v>
      </c>
      <c r="J21" s="102"/>
    </row>
    <row r="22" spans="2:10" ht="12.75" hidden="1">
      <c r="B22" s="86" t="s">
        <v>24</v>
      </c>
      <c r="G22" s="102">
        <v>0</v>
      </c>
      <c r="J22" s="102"/>
    </row>
    <row r="23" spans="6:10" ht="13.5" customHeight="1" thickBot="1">
      <c r="F23" s="99"/>
      <c r="G23" s="104"/>
      <c r="H23" s="103">
        <f>H12*3%</f>
        <v>327669.6429</v>
      </c>
      <c r="J23" s="102"/>
    </row>
    <row r="24" spans="1:9" ht="13.5" customHeight="1" thickTop="1">
      <c r="A24" s="95" t="s">
        <v>125</v>
      </c>
      <c r="B24" s="105"/>
      <c r="C24" s="96"/>
      <c r="D24" s="96"/>
      <c r="E24" s="96"/>
      <c r="F24" s="97" t="s">
        <v>12</v>
      </c>
      <c r="G24" s="106">
        <f>(SellingPrice-G11)-SUM(G12:G22)</f>
        <v>10594651.7871</v>
      </c>
      <c r="I24" s="102"/>
    </row>
    <row r="25" spans="1:9" ht="12.75">
      <c r="A25" s="86" t="s">
        <v>26</v>
      </c>
      <c r="B25" s="86" t="s">
        <v>14</v>
      </c>
      <c r="G25" s="102">
        <f>ROUND(IF(ISERROR(FIND("PARKING",Model,1)),IF(G24&gt;3199200,G24*12%,0),G24*12%),2)</f>
        <v>1271358.21</v>
      </c>
      <c r="I25" s="102"/>
    </row>
    <row r="26" spans="1:7" ht="12.75" hidden="1">
      <c r="A26" s="101">
        <v>7</v>
      </c>
      <c r="B26" s="86" t="s">
        <v>27</v>
      </c>
      <c r="G26" s="102">
        <f>ROUND(G24*(A26/100),2)</f>
        <v>741625.63</v>
      </c>
    </row>
    <row r="27" spans="1:7" ht="12.75" hidden="1">
      <c r="A27" s="101"/>
      <c r="B27" s="86" t="s">
        <v>28</v>
      </c>
      <c r="F27" s="101">
        <f>IF(G27&gt;50000,50000,G27)</f>
        <v>0</v>
      </c>
      <c r="G27" s="102">
        <v>0</v>
      </c>
    </row>
    <row r="28" spans="1:7" ht="12.75" hidden="1">
      <c r="A28" s="101"/>
      <c r="B28" s="86" t="s">
        <v>29</v>
      </c>
      <c r="G28" s="102">
        <v>0</v>
      </c>
    </row>
    <row r="29" spans="1:7" ht="13.5" customHeight="1" thickBot="1">
      <c r="A29" s="101"/>
      <c r="B29" s="86" t="s">
        <v>27</v>
      </c>
      <c r="G29" s="102">
        <f>ROUND(SUM(G26,G28,F27),2)</f>
        <v>741625.63</v>
      </c>
    </row>
    <row r="30" spans="1:7" ht="13.5" customHeight="1" thickTop="1">
      <c r="A30" s="95" t="s">
        <v>30</v>
      </c>
      <c r="B30" s="96"/>
      <c r="C30" s="96"/>
      <c r="D30" s="96"/>
      <c r="E30" s="96"/>
      <c r="F30" s="97" t="s">
        <v>12</v>
      </c>
      <c r="G30" s="106">
        <f>G24+SUM(G25,G29)</f>
        <v>12607635.6271</v>
      </c>
    </row>
    <row r="31" spans="1:7" ht="13.5" customHeight="1" thickBot="1">
      <c r="A31" s="86" t="s">
        <v>13</v>
      </c>
      <c r="B31" s="86" t="s">
        <v>34</v>
      </c>
      <c r="F31" s="107">
        <f>DATE(2019,10,7)</f>
        <v>43745</v>
      </c>
      <c r="G31" s="102">
        <v>20000</v>
      </c>
    </row>
    <row r="32" spans="1:7" ht="13.5" customHeight="1" thickTop="1">
      <c r="A32" s="95" t="s">
        <v>126</v>
      </c>
      <c r="B32" s="96"/>
      <c r="C32" s="96"/>
      <c r="D32" s="96"/>
      <c r="E32" s="108"/>
      <c r="F32" s="97" t="s">
        <v>12</v>
      </c>
      <c r="G32" s="106">
        <f>G30-G31</f>
        <v>12587635.6271</v>
      </c>
    </row>
    <row r="33" ht="12.75">
      <c r="A33" s="109">
        <v>100</v>
      </c>
    </row>
    <row r="34" ht="12.75">
      <c r="A34" s="110" t="s">
        <v>31</v>
      </c>
    </row>
    <row r="35" spans="1:10" ht="13.5" customHeight="1" thickBot="1">
      <c r="A35" s="101">
        <v>10</v>
      </c>
      <c r="B35" s="86" t="str">
        <f>CONCATENATE("Spot Downpayment ("&amp;A35&amp;"% of Selling Price)")</f>
        <v>Spot Downpayment (10% of Selling Price)</v>
      </c>
      <c r="E35" s="111"/>
      <c r="F35" s="107"/>
      <c r="G35" s="102">
        <f>ROUND((SUM(G24:G25)*(A35/100))-(G31),2)</f>
        <v>1166601</v>
      </c>
      <c r="H35" s="102"/>
      <c r="I35" s="102"/>
      <c r="J35" s="112"/>
    </row>
    <row r="36" spans="2:7" ht="13.5" customHeight="1" thickTop="1">
      <c r="B36" s="113" t="s">
        <v>127</v>
      </c>
      <c r="E36" s="111"/>
      <c r="F36" s="107">
        <f>ReservationDate+19</f>
        <v>43764</v>
      </c>
      <c r="G36" s="114">
        <f>SUM(G35:G35)</f>
        <v>1166601</v>
      </c>
    </row>
    <row r="37" spans="2:7" ht="12.75">
      <c r="B37" s="113"/>
      <c r="E37" s="111"/>
      <c r="F37" s="107"/>
      <c r="G37" s="115"/>
    </row>
    <row r="38" spans="1:7" ht="12.75">
      <c r="A38" s="110" t="s">
        <v>128</v>
      </c>
      <c r="B38" s="116"/>
      <c r="E38" s="111"/>
      <c r="F38" s="107"/>
      <c r="G38" s="117"/>
    </row>
    <row r="39" spans="1:9" ht="12.75">
      <c r="A39" s="101">
        <f>A33-A35</f>
        <v>90</v>
      </c>
      <c r="B39" s="118" t="str">
        <f>CONCATENATE("Balance Remaining ("&amp;A39&amp;"% of Selling Price)")</f>
        <v>Balance Remaining (90% of Selling Price)</v>
      </c>
      <c r="E39" s="111"/>
      <c r="F39" s="107"/>
      <c r="G39" s="102">
        <f>(SUM(G24:G25)-G35)-G31</f>
        <v>10679408.9971</v>
      </c>
      <c r="I39" s="102"/>
    </row>
    <row r="40" spans="2:7" ht="13.5" customHeight="1" thickBot="1">
      <c r="B40" s="118" t="str">
        <f>IF(LumpOCDate&lt;&gt;"","Other Charges is payable on or before","Other Charges")</f>
        <v>Other Charges</v>
      </c>
      <c r="E40" s="111"/>
      <c r="F40" s="107"/>
      <c r="G40" s="102">
        <f>G29</f>
        <v>741625.63</v>
      </c>
    </row>
    <row r="41" spans="2:7" ht="13.5" customHeight="1" thickTop="1">
      <c r="B41" s="113" t="str">
        <f>CONCATENATE("Remaining Balance and OC due and payable in "&amp;A43&amp;" months at 0 intrest")</f>
        <v>Remaining Balance and OC due and payable in 36 months at 0 intrest</v>
      </c>
      <c r="E41" s="111"/>
      <c r="F41" s="107"/>
      <c r="G41" s="114">
        <f>SUM(G39:G40)</f>
        <v>11421034.6271</v>
      </c>
    </row>
    <row r="42" spans="2:7" ht="12.75">
      <c r="B42" s="118"/>
      <c r="E42" s="111"/>
      <c r="F42" s="107"/>
      <c r="G42" s="117"/>
    </row>
    <row r="43" spans="1:7" ht="25.5" customHeight="1">
      <c r="A43" s="119">
        <v>36</v>
      </c>
      <c r="B43" s="163" t="s">
        <v>37</v>
      </c>
      <c r="C43" s="163"/>
      <c r="D43" s="120" t="s">
        <v>38</v>
      </c>
      <c r="E43" s="121" t="s">
        <v>39</v>
      </c>
      <c r="F43" s="122" t="s">
        <v>27</v>
      </c>
      <c r="G43" s="123" t="s">
        <v>40</v>
      </c>
    </row>
    <row r="44" spans="1:7" ht="12.75">
      <c r="A44" s="164" t="s">
        <v>41</v>
      </c>
      <c r="B44" s="164"/>
      <c r="C44" s="164"/>
      <c r="D44" s="124">
        <f>IF(AND(DAY(F36)&gt;2,DAY(F36)&lt;19),DATE(YEAR(F36+30),MONTH(F36+30),DAY(17)),DATE(YEAR(F36+30),IF(DAY(F36)&gt;18,MONTH(F36+30)+1,MONTH(F36+30)),DAY(2)))</f>
        <v>43801</v>
      </c>
      <c r="E44" s="100">
        <f>ROUND(G39/A43,2)</f>
        <v>296650.25</v>
      </c>
      <c r="F44" s="125">
        <f>ROUND(IF(LumpOCDate&lt;&gt;"",IF(D44=LumpOCDate,$G$40,0),$G$40/NoDPSchedule),2)</f>
        <v>20600.71</v>
      </c>
      <c r="G44" s="102">
        <f>SUM(E44:F44)</f>
        <v>317250.96</v>
      </c>
    </row>
    <row r="45" spans="1:7" ht="12.75">
      <c r="A45" s="164" t="s">
        <v>42</v>
      </c>
      <c r="B45" s="164"/>
      <c r="C45" s="164"/>
      <c r="D45" s="124">
        <f>IF($A$43&lt;VALUE(LEFT(A45,1))," ",DATE(YEAR(D44+30),MONTH(D44+30),DAY(D44)))</f>
        <v>43832</v>
      </c>
      <c r="E45" s="100">
        <f>IF($A$43&lt;VALUE(LEFT(A45,1))," ",IF($A$43=VALUE(LEFT(A45,1)),$G$39-($E$44*($A$43-1)),E44))</f>
        <v>296650.25</v>
      </c>
      <c r="F45" s="125">
        <f>IF($A$43&lt;VALUE(LEFT(A45,1))," ",IF($A$43=VALUE(LEFT(A45,1)),$G$40-($F$44*($A$43-1)),F44))</f>
        <v>20600.71</v>
      </c>
      <c r="G45" s="102">
        <f aca="true" t="shared" si="0" ref="G45:G52">IF(NoDPSchedule&lt;VALUE(LEFT(A45,1))," ",SUM(E45:F45))</f>
        <v>317250.96</v>
      </c>
    </row>
    <row r="46" spans="1:7" ht="12.75">
      <c r="A46" s="164" t="s">
        <v>43</v>
      </c>
      <c r="B46" s="164"/>
      <c r="C46" s="164"/>
      <c r="D46" s="124">
        <f>IF($A$43&lt;VALUE(LEFT(A46,1))," ",DATE(YEAR(D45+30),MONTH(D45+30),DAY(D45)))</f>
        <v>43863</v>
      </c>
      <c r="E46" s="100">
        <f aca="true" t="shared" si="1" ref="E46:E52">IF($A$43&lt;VALUE(LEFT(A46,1))," ",IF($A$43=VALUE(LEFT(A46,1)),$G$39-($E$44*($A$43-1)),E45))</f>
        <v>296650.25</v>
      </c>
      <c r="F46" s="125">
        <f aca="true" t="shared" si="2" ref="F46:F52">IF($A$43&lt;VALUE(LEFT(A46,1))," ",IF($A$43=VALUE(LEFT(A46,1)),$G$40-($F$44*($A$43-1)),F45))</f>
        <v>20600.71</v>
      </c>
      <c r="G46" s="102">
        <f t="shared" si="0"/>
        <v>317250.96</v>
      </c>
    </row>
    <row r="47" spans="1:7" ht="12.75">
      <c r="A47" s="164" t="s">
        <v>44</v>
      </c>
      <c r="B47" s="164"/>
      <c r="C47" s="164"/>
      <c r="D47" s="124">
        <f aca="true" t="shared" si="3" ref="D47:D52">IF($A$43&lt;VALUE(LEFT(A47,1))," ",DATE(YEAR(D46+30),MONTH(D46+30),DAY(D46)))</f>
        <v>43892</v>
      </c>
      <c r="E47" s="100">
        <f t="shared" si="1"/>
        <v>296650.25</v>
      </c>
      <c r="F47" s="125">
        <f t="shared" si="2"/>
        <v>20600.71</v>
      </c>
      <c r="G47" s="102">
        <f t="shared" si="0"/>
        <v>317250.96</v>
      </c>
    </row>
    <row r="48" spans="1:7" ht="12.75">
      <c r="A48" s="164" t="s">
        <v>45</v>
      </c>
      <c r="B48" s="164"/>
      <c r="C48" s="164"/>
      <c r="D48" s="124">
        <f t="shared" si="3"/>
        <v>43923</v>
      </c>
      <c r="E48" s="100">
        <f t="shared" si="1"/>
        <v>296650.25</v>
      </c>
      <c r="F48" s="125">
        <f t="shared" si="2"/>
        <v>20600.71</v>
      </c>
      <c r="G48" s="102">
        <f t="shared" si="0"/>
        <v>317250.96</v>
      </c>
    </row>
    <row r="49" spans="1:7" ht="12.75">
      <c r="A49" s="164" t="s">
        <v>46</v>
      </c>
      <c r="B49" s="164"/>
      <c r="C49" s="164"/>
      <c r="D49" s="124">
        <f t="shared" si="3"/>
        <v>43953</v>
      </c>
      <c r="E49" s="100">
        <f t="shared" si="1"/>
        <v>296650.25</v>
      </c>
      <c r="F49" s="125">
        <f t="shared" si="2"/>
        <v>20600.71</v>
      </c>
      <c r="G49" s="102">
        <f t="shared" si="0"/>
        <v>317250.96</v>
      </c>
    </row>
    <row r="50" spans="1:7" ht="12.75">
      <c r="A50" s="164" t="s">
        <v>47</v>
      </c>
      <c r="B50" s="164"/>
      <c r="C50" s="164"/>
      <c r="D50" s="124">
        <f t="shared" si="3"/>
        <v>43984</v>
      </c>
      <c r="E50" s="100">
        <f t="shared" si="1"/>
        <v>296650.25</v>
      </c>
      <c r="F50" s="125">
        <f t="shared" si="2"/>
        <v>20600.71</v>
      </c>
      <c r="G50" s="102">
        <f t="shared" si="0"/>
        <v>317250.96</v>
      </c>
    </row>
    <row r="51" spans="1:7" ht="12.75">
      <c r="A51" s="164" t="s">
        <v>48</v>
      </c>
      <c r="B51" s="164"/>
      <c r="C51" s="164"/>
      <c r="D51" s="124">
        <f t="shared" si="3"/>
        <v>44014</v>
      </c>
      <c r="E51" s="100">
        <f t="shared" si="1"/>
        <v>296650.25</v>
      </c>
      <c r="F51" s="125">
        <f t="shared" si="2"/>
        <v>20600.71</v>
      </c>
      <c r="G51" s="102">
        <f t="shared" si="0"/>
        <v>317250.96</v>
      </c>
    </row>
    <row r="52" spans="1:7" ht="12.75">
      <c r="A52" s="164" t="s">
        <v>49</v>
      </c>
      <c r="B52" s="164"/>
      <c r="C52" s="164"/>
      <c r="D52" s="124">
        <f t="shared" si="3"/>
        <v>44045</v>
      </c>
      <c r="E52" s="100">
        <f t="shared" si="1"/>
        <v>296650.25</v>
      </c>
      <c r="F52" s="125">
        <f t="shared" si="2"/>
        <v>20600.71</v>
      </c>
      <c r="G52" s="102">
        <f t="shared" si="0"/>
        <v>317250.96</v>
      </c>
    </row>
    <row r="53" spans="1:7" ht="12.75">
      <c r="A53" s="164" t="s">
        <v>50</v>
      </c>
      <c r="B53" s="164"/>
      <c r="C53" s="164"/>
      <c r="D53" s="124">
        <f>IF($A$43&lt;VALUE(LEFT(A53,2))," ",DATE(YEAR(D52+30),MONTH(D52+30),DAY(D52)))</f>
        <v>44076</v>
      </c>
      <c r="E53" s="100">
        <f>IF($A$43&lt;VALUE(LEFT(A53,2))," ",IF($A$43=VALUE(LEFT(A53,2)),$G$39-($E$44*($A$43-1)),E52))</f>
        <v>296650.25</v>
      </c>
      <c r="F53" s="125">
        <f>IF($A$43&lt;VALUE(LEFT(A53,2))," ",IF($A$43=VALUE(LEFT(A53,2)),$G$40-($F$44*($A$43-1)),F52))</f>
        <v>20600.71</v>
      </c>
      <c r="G53" s="102">
        <f aca="true" t="shared" si="4" ref="G53:G95">IF(NoDPSchedule&lt;VALUE(LEFT(A53,2))," ",SUM(E53:F53))</f>
        <v>317250.96</v>
      </c>
    </row>
    <row r="54" spans="1:7" ht="12.75">
      <c r="A54" s="164" t="s">
        <v>51</v>
      </c>
      <c r="B54" s="164"/>
      <c r="C54" s="164"/>
      <c r="D54" s="124">
        <f aca="true" t="shared" si="5" ref="D54:D95">IF($A$43&lt;VALUE(LEFT(A54,2))," ",DATE(YEAR(D53+30),MONTH(D53+30),DAY(D53)))</f>
        <v>44106</v>
      </c>
      <c r="E54" s="100">
        <f aca="true" t="shared" si="6" ref="E54:E95">IF($A$43&lt;VALUE(LEFT(A54,2))," ",IF($A$43=VALUE(LEFT(A54,2)),$G$39-($E$44*($A$43-1)),E53))</f>
        <v>296650.25</v>
      </c>
      <c r="F54" s="125">
        <f aca="true" t="shared" si="7" ref="F54:F95">IF($A$43&lt;VALUE(LEFT(A54,2))," ",IF($A$43=VALUE(LEFT(A54,2)),$G$40-($F$44*($A$43-1)),F53))</f>
        <v>20600.71</v>
      </c>
      <c r="G54" s="102">
        <f t="shared" si="4"/>
        <v>317250.96</v>
      </c>
    </row>
    <row r="55" spans="1:7" ht="12.75">
      <c r="A55" s="164" t="s">
        <v>52</v>
      </c>
      <c r="B55" s="164"/>
      <c r="C55" s="164"/>
      <c r="D55" s="124">
        <f t="shared" si="5"/>
        <v>44137</v>
      </c>
      <c r="E55" s="100">
        <f t="shared" si="6"/>
        <v>296650.25</v>
      </c>
      <c r="F55" s="125">
        <f t="shared" si="7"/>
        <v>20600.71</v>
      </c>
      <c r="G55" s="102">
        <f t="shared" si="4"/>
        <v>317250.96</v>
      </c>
    </row>
    <row r="56" spans="1:7" ht="12.75">
      <c r="A56" s="164" t="s">
        <v>53</v>
      </c>
      <c r="B56" s="164"/>
      <c r="C56" s="164"/>
      <c r="D56" s="124">
        <f t="shared" si="5"/>
        <v>44167</v>
      </c>
      <c r="E56" s="100">
        <f t="shared" si="6"/>
        <v>296650.25</v>
      </c>
      <c r="F56" s="125">
        <f t="shared" si="7"/>
        <v>20600.71</v>
      </c>
      <c r="G56" s="102">
        <f t="shared" si="4"/>
        <v>317250.96</v>
      </c>
    </row>
    <row r="57" spans="1:7" ht="12.75">
      <c r="A57" s="164" t="s">
        <v>54</v>
      </c>
      <c r="B57" s="164"/>
      <c r="C57" s="164"/>
      <c r="D57" s="124">
        <f t="shared" si="5"/>
        <v>44198</v>
      </c>
      <c r="E57" s="100">
        <f t="shared" si="6"/>
        <v>296650.25</v>
      </c>
      <c r="F57" s="125">
        <f t="shared" si="7"/>
        <v>20600.71</v>
      </c>
      <c r="G57" s="102">
        <f t="shared" si="4"/>
        <v>317250.96</v>
      </c>
    </row>
    <row r="58" spans="1:7" ht="12.75">
      <c r="A58" s="164" t="s">
        <v>55</v>
      </c>
      <c r="B58" s="164"/>
      <c r="C58" s="164"/>
      <c r="D58" s="124">
        <f t="shared" si="5"/>
        <v>44229</v>
      </c>
      <c r="E58" s="100">
        <f t="shared" si="6"/>
        <v>296650.25</v>
      </c>
      <c r="F58" s="125">
        <f t="shared" si="7"/>
        <v>20600.71</v>
      </c>
      <c r="G58" s="102">
        <f t="shared" si="4"/>
        <v>317250.96</v>
      </c>
    </row>
    <row r="59" spans="1:7" ht="12.75">
      <c r="A59" s="164" t="s">
        <v>56</v>
      </c>
      <c r="B59" s="164"/>
      <c r="C59" s="164"/>
      <c r="D59" s="124">
        <f t="shared" si="5"/>
        <v>44257</v>
      </c>
      <c r="E59" s="100">
        <f t="shared" si="6"/>
        <v>296650.25</v>
      </c>
      <c r="F59" s="125">
        <f t="shared" si="7"/>
        <v>20600.71</v>
      </c>
      <c r="G59" s="102">
        <f t="shared" si="4"/>
        <v>317250.96</v>
      </c>
    </row>
    <row r="60" spans="1:7" ht="12.75">
      <c r="A60" s="164" t="s">
        <v>57</v>
      </c>
      <c r="B60" s="164"/>
      <c r="C60" s="164"/>
      <c r="D60" s="124">
        <f t="shared" si="5"/>
        <v>44288</v>
      </c>
      <c r="E60" s="100">
        <f t="shared" si="6"/>
        <v>296650.25</v>
      </c>
      <c r="F60" s="125">
        <f t="shared" si="7"/>
        <v>20600.71</v>
      </c>
      <c r="G60" s="102">
        <f t="shared" si="4"/>
        <v>317250.96</v>
      </c>
    </row>
    <row r="61" spans="1:7" ht="12.75">
      <c r="A61" s="164" t="s">
        <v>58</v>
      </c>
      <c r="B61" s="164"/>
      <c r="C61" s="164"/>
      <c r="D61" s="124">
        <f t="shared" si="5"/>
        <v>44318</v>
      </c>
      <c r="E61" s="100">
        <f t="shared" si="6"/>
        <v>296650.25</v>
      </c>
      <c r="F61" s="125">
        <f t="shared" si="7"/>
        <v>20600.71</v>
      </c>
      <c r="G61" s="102">
        <f t="shared" si="4"/>
        <v>317250.96</v>
      </c>
    </row>
    <row r="62" spans="1:7" ht="12.75">
      <c r="A62" s="164" t="s">
        <v>59</v>
      </c>
      <c r="B62" s="164"/>
      <c r="C62" s="164"/>
      <c r="D62" s="124">
        <f t="shared" si="5"/>
        <v>44349</v>
      </c>
      <c r="E62" s="100">
        <f t="shared" si="6"/>
        <v>296650.25</v>
      </c>
      <c r="F62" s="125">
        <f t="shared" si="7"/>
        <v>20600.71</v>
      </c>
      <c r="G62" s="102">
        <f t="shared" si="4"/>
        <v>317250.96</v>
      </c>
    </row>
    <row r="63" spans="1:7" ht="12.75">
      <c r="A63" s="164" t="s">
        <v>60</v>
      </c>
      <c r="B63" s="164"/>
      <c r="C63" s="164"/>
      <c r="D63" s="124">
        <f t="shared" si="5"/>
        <v>44379</v>
      </c>
      <c r="E63" s="100">
        <f t="shared" si="6"/>
        <v>296650.25</v>
      </c>
      <c r="F63" s="125">
        <f t="shared" si="7"/>
        <v>20600.71</v>
      </c>
      <c r="G63" s="102">
        <f t="shared" si="4"/>
        <v>317250.96</v>
      </c>
    </row>
    <row r="64" spans="1:7" ht="12.75">
      <c r="A64" s="164" t="s">
        <v>61</v>
      </c>
      <c r="B64" s="164"/>
      <c r="C64" s="164"/>
      <c r="D64" s="124">
        <f t="shared" si="5"/>
        <v>44410</v>
      </c>
      <c r="E64" s="100">
        <f t="shared" si="6"/>
        <v>296650.25</v>
      </c>
      <c r="F64" s="125">
        <f t="shared" si="7"/>
        <v>20600.71</v>
      </c>
      <c r="G64" s="102">
        <f t="shared" si="4"/>
        <v>317250.96</v>
      </c>
    </row>
    <row r="65" spans="1:7" ht="12.75">
      <c r="A65" s="164" t="s">
        <v>62</v>
      </c>
      <c r="B65" s="164"/>
      <c r="C65" s="164"/>
      <c r="D65" s="124">
        <f t="shared" si="5"/>
        <v>44441</v>
      </c>
      <c r="E65" s="100">
        <f t="shared" si="6"/>
        <v>296650.25</v>
      </c>
      <c r="F65" s="125">
        <f t="shared" si="7"/>
        <v>20600.71</v>
      </c>
      <c r="G65" s="102">
        <f t="shared" si="4"/>
        <v>317250.96</v>
      </c>
    </row>
    <row r="66" spans="1:7" ht="12.75">
      <c r="A66" s="164" t="s">
        <v>63</v>
      </c>
      <c r="B66" s="164"/>
      <c r="C66" s="164"/>
      <c r="D66" s="124">
        <f t="shared" si="5"/>
        <v>44471</v>
      </c>
      <c r="E66" s="100">
        <f t="shared" si="6"/>
        <v>296650.25</v>
      </c>
      <c r="F66" s="125">
        <f t="shared" si="7"/>
        <v>20600.71</v>
      </c>
      <c r="G66" s="102">
        <f t="shared" si="4"/>
        <v>317250.96</v>
      </c>
    </row>
    <row r="67" spans="1:7" ht="12.75">
      <c r="A67" s="164" t="s">
        <v>64</v>
      </c>
      <c r="B67" s="164"/>
      <c r="C67" s="164"/>
      <c r="D67" s="124">
        <f t="shared" si="5"/>
        <v>44502</v>
      </c>
      <c r="E67" s="100">
        <f t="shared" si="6"/>
        <v>296650.25</v>
      </c>
      <c r="F67" s="125">
        <f t="shared" si="7"/>
        <v>20600.71</v>
      </c>
      <c r="G67" s="102">
        <f t="shared" si="4"/>
        <v>317250.96</v>
      </c>
    </row>
    <row r="68" spans="1:7" ht="12.75">
      <c r="A68" s="164" t="s">
        <v>65</v>
      </c>
      <c r="B68" s="164"/>
      <c r="C68" s="164"/>
      <c r="D68" s="124">
        <f t="shared" si="5"/>
        <v>44532</v>
      </c>
      <c r="E68" s="100">
        <f t="shared" si="6"/>
        <v>296650.25</v>
      </c>
      <c r="F68" s="125">
        <f t="shared" si="7"/>
        <v>20600.71</v>
      </c>
      <c r="G68" s="102">
        <f t="shared" si="4"/>
        <v>317250.96</v>
      </c>
    </row>
    <row r="69" spans="1:7" ht="12.75">
      <c r="A69" s="164" t="s">
        <v>66</v>
      </c>
      <c r="B69" s="164"/>
      <c r="C69" s="164"/>
      <c r="D69" s="124">
        <f t="shared" si="5"/>
        <v>44563</v>
      </c>
      <c r="E69" s="100">
        <f t="shared" si="6"/>
        <v>296650.25</v>
      </c>
      <c r="F69" s="125">
        <f t="shared" si="7"/>
        <v>20600.71</v>
      </c>
      <c r="G69" s="102">
        <f t="shared" si="4"/>
        <v>317250.96</v>
      </c>
    </row>
    <row r="70" spans="1:7" ht="12.75">
      <c r="A70" s="164" t="s">
        <v>67</v>
      </c>
      <c r="B70" s="164"/>
      <c r="C70" s="164"/>
      <c r="D70" s="124">
        <f t="shared" si="5"/>
        <v>44594</v>
      </c>
      <c r="E70" s="100">
        <f t="shared" si="6"/>
        <v>296650.25</v>
      </c>
      <c r="F70" s="125">
        <f t="shared" si="7"/>
        <v>20600.71</v>
      </c>
      <c r="G70" s="102">
        <f t="shared" si="4"/>
        <v>317250.96</v>
      </c>
    </row>
    <row r="71" spans="1:7" ht="12.75">
      <c r="A71" s="164" t="s">
        <v>68</v>
      </c>
      <c r="B71" s="164"/>
      <c r="C71" s="164"/>
      <c r="D71" s="124">
        <f t="shared" si="5"/>
        <v>44622</v>
      </c>
      <c r="E71" s="100">
        <f t="shared" si="6"/>
        <v>296650.25</v>
      </c>
      <c r="F71" s="125">
        <f t="shared" si="7"/>
        <v>20600.71</v>
      </c>
      <c r="G71" s="102">
        <f t="shared" si="4"/>
        <v>317250.96</v>
      </c>
    </row>
    <row r="72" spans="1:7" ht="12.75">
      <c r="A72" s="164" t="s">
        <v>69</v>
      </c>
      <c r="B72" s="164"/>
      <c r="C72" s="164"/>
      <c r="D72" s="124">
        <f t="shared" si="5"/>
        <v>44653</v>
      </c>
      <c r="E72" s="100">
        <f t="shared" si="6"/>
        <v>296650.25</v>
      </c>
      <c r="F72" s="125">
        <f t="shared" si="7"/>
        <v>20600.71</v>
      </c>
      <c r="G72" s="102">
        <f t="shared" si="4"/>
        <v>317250.96</v>
      </c>
    </row>
    <row r="73" spans="1:7" ht="12.75">
      <c r="A73" s="164" t="s">
        <v>70</v>
      </c>
      <c r="B73" s="164"/>
      <c r="C73" s="164"/>
      <c r="D73" s="124">
        <f t="shared" si="5"/>
        <v>44683</v>
      </c>
      <c r="E73" s="100">
        <f t="shared" si="6"/>
        <v>296650.25</v>
      </c>
      <c r="F73" s="125">
        <f t="shared" si="7"/>
        <v>20600.71</v>
      </c>
      <c r="G73" s="102">
        <f t="shared" si="4"/>
        <v>317250.96</v>
      </c>
    </row>
    <row r="74" spans="1:7" ht="12.75">
      <c r="A74" s="164" t="s">
        <v>71</v>
      </c>
      <c r="B74" s="164"/>
      <c r="C74" s="164"/>
      <c r="D74" s="124">
        <f t="shared" si="5"/>
        <v>44714</v>
      </c>
      <c r="E74" s="100">
        <f t="shared" si="6"/>
        <v>296650.25</v>
      </c>
      <c r="F74" s="125">
        <f t="shared" si="7"/>
        <v>20600.71</v>
      </c>
      <c r="G74" s="102">
        <f t="shared" si="4"/>
        <v>317250.96</v>
      </c>
    </row>
    <row r="75" spans="1:7" ht="12.75">
      <c r="A75" s="164" t="s">
        <v>72</v>
      </c>
      <c r="B75" s="164"/>
      <c r="C75" s="164"/>
      <c r="D75" s="124">
        <f t="shared" si="5"/>
        <v>44744</v>
      </c>
      <c r="E75" s="100">
        <f t="shared" si="6"/>
        <v>296650.25</v>
      </c>
      <c r="F75" s="125">
        <f t="shared" si="7"/>
        <v>20600.71</v>
      </c>
      <c r="G75" s="102">
        <f t="shared" si="4"/>
        <v>317250.96</v>
      </c>
    </row>
    <row r="76" spans="1:7" ht="12.75">
      <c r="A76" s="164" t="s">
        <v>73</v>
      </c>
      <c r="B76" s="164"/>
      <c r="C76" s="164"/>
      <c r="D76" s="124">
        <f t="shared" si="5"/>
        <v>44775</v>
      </c>
      <c r="E76" s="100">
        <f t="shared" si="6"/>
        <v>296650.25</v>
      </c>
      <c r="F76" s="125">
        <f t="shared" si="7"/>
        <v>20600.71</v>
      </c>
      <c r="G76" s="102">
        <f t="shared" si="4"/>
        <v>317250.96</v>
      </c>
    </row>
    <row r="77" spans="1:7" ht="12.75">
      <c r="A77" s="164" t="s">
        <v>74</v>
      </c>
      <c r="B77" s="164"/>
      <c r="C77" s="164"/>
      <c r="D77" s="124">
        <f t="shared" si="5"/>
        <v>44806</v>
      </c>
      <c r="E77" s="100">
        <f t="shared" si="6"/>
        <v>296650.25</v>
      </c>
      <c r="F77" s="125">
        <f t="shared" si="7"/>
        <v>20600.71</v>
      </c>
      <c r="G77" s="102">
        <f t="shared" si="4"/>
        <v>317250.96</v>
      </c>
    </row>
    <row r="78" spans="1:7" ht="12.75">
      <c r="A78" s="164" t="s">
        <v>75</v>
      </c>
      <c r="B78" s="164"/>
      <c r="C78" s="164"/>
      <c r="D78" s="124">
        <f t="shared" si="5"/>
        <v>44836</v>
      </c>
      <c r="E78" s="100">
        <f t="shared" si="6"/>
        <v>296650.25</v>
      </c>
      <c r="F78" s="125">
        <f t="shared" si="7"/>
        <v>20600.71</v>
      </c>
      <c r="G78" s="102">
        <f t="shared" si="4"/>
        <v>317250.96</v>
      </c>
    </row>
    <row r="79" spans="1:7" ht="12.75">
      <c r="A79" s="164" t="s">
        <v>76</v>
      </c>
      <c r="B79" s="164"/>
      <c r="C79" s="164"/>
      <c r="D79" s="124">
        <f t="shared" si="5"/>
        <v>44867</v>
      </c>
      <c r="E79" s="100">
        <f t="shared" si="6"/>
        <v>296650.24709999934</v>
      </c>
      <c r="F79" s="125">
        <f t="shared" si="7"/>
        <v>20600.780000000028</v>
      </c>
      <c r="G79" s="102">
        <f t="shared" si="4"/>
        <v>317251.02709999937</v>
      </c>
    </row>
    <row r="80" spans="1:7" ht="12.75" hidden="1">
      <c r="A80" s="164" t="s">
        <v>129</v>
      </c>
      <c r="B80" s="164"/>
      <c r="C80" s="164"/>
      <c r="D80" s="124" t="str">
        <f t="shared" si="5"/>
        <v> </v>
      </c>
      <c r="E80" s="100" t="str">
        <f t="shared" si="6"/>
        <v> </v>
      </c>
      <c r="F80" s="125" t="str">
        <f t="shared" si="7"/>
        <v> </v>
      </c>
      <c r="G80" s="102" t="str">
        <f t="shared" si="4"/>
        <v> </v>
      </c>
    </row>
    <row r="81" spans="1:7" ht="12.75" hidden="1">
      <c r="A81" s="164" t="s">
        <v>130</v>
      </c>
      <c r="B81" s="164"/>
      <c r="C81" s="164"/>
      <c r="D81" s="124" t="str">
        <f t="shared" si="5"/>
        <v> </v>
      </c>
      <c r="E81" s="100" t="str">
        <f t="shared" si="6"/>
        <v> </v>
      </c>
      <c r="F81" s="125" t="str">
        <f t="shared" si="7"/>
        <v> </v>
      </c>
      <c r="G81" s="102" t="str">
        <f t="shared" si="4"/>
        <v> </v>
      </c>
    </row>
    <row r="82" spans="1:7" ht="12.75" hidden="1">
      <c r="A82" s="164" t="s">
        <v>131</v>
      </c>
      <c r="B82" s="164"/>
      <c r="C82" s="164"/>
      <c r="D82" s="124" t="str">
        <f t="shared" si="5"/>
        <v> </v>
      </c>
      <c r="E82" s="100" t="str">
        <f t="shared" si="6"/>
        <v> </v>
      </c>
      <c r="F82" s="125" t="str">
        <f t="shared" si="7"/>
        <v> </v>
      </c>
      <c r="G82" s="102" t="str">
        <f t="shared" si="4"/>
        <v> </v>
      </c>
    </row>
    <row r="83" spans="1:7" ht="12.75" hidden="1">
      <c r="A83" s="164" t="s">
        <v>132</v>
      </c>
      <c r="B83" s="164"/>
      <c r="C83" s="164"/>
      <c r="D83" s="124" t="str">
        <f t="shared" si="5"/>
        <v> </v>
      </c>
      <c r="E83" s="100" t="str">
        <f t="shared" si="6"/>
        <v> </v>
      </c>
      <c r="F83" s="125" t="str">
        <f t="shared" si="7"/>
        <v> </v>
      </c>
      <c r="G83" s="102" t="str">
        <f t="shared" si="4"/>
        <v> </v>
      </c>
    </row>
    <row r="84" spans="1:7" ht="12.75" hidden="1">
      <c r="A84" s="164" t="s">
        <v>133</v>
      </c>
      <c r="B84" s="164"/>
      <c r="C84" s="164"/>
      <c r="D84" s="124" t="str">
        <f t="shared" si="5"/>
        <v> </v>
      </c>
      <c r="E84" s="100" t="str">
        <f t="shared" si="6"/>
        <v> </v>
      </c>
      <c r="F84" s="125" t="str">
        <f t="shared" si="7"/>
        <v> </v>
      </c>
      <c r="G84" s="102" t="str">
        <f t="shared" si="4"/>
        <v> </v>
      </c>
    </row>
    <row r="85" spans="1:7" ht="12.75" hidden="1">
      <c r="A85" s="164" t="s">
        <v>134</v>
      </c>
      <c r="B85" s="164"/>
      <c r="C85" s="164"/>
      <c r="D85" s="124" t="str">
        <f t="shared" si="5"/>
        <v> </v>
      </c>
      <c r="E85" s="100" t="str">
        <f t="shared" si="6"/>
        <v> </v>
      </c>
      <c r="F85" s="125" t="str">
        <f t="shared" si="7"/>
        <v> </v>
      </c>
      <c r="G85" s="102" t="str">
        <f t="shared" si="4"/>
        <v> </v>
      </c>
    </row>
    <row r="86" spans="1:7" ht="12.75" hidden="1">
      <c r="A86" s="164" t="s">
        <v>135</v>
      </c>
      <c r="B86" s="164"/>
      <c r="C86" s="164"/>
      <c r="D86" s="124" t="str">
        <f t="shared" si="5"/>
        <v> </v>
      </c>
      <c r="E86" s="100" t="str">
        <f t="shared" si="6"/>
        <v> </v>
      </c>
      <c r="F86" s="125" t="str">
        <f t="shared" si="7"/>
        <v> </v>
      </c>
      <c r="G86" s="102" t="str">
        <f t="shared" si="4"/>
        <v> </v>
      </c>
    </row>
    <row r="87" spans="1:7" ht="12.75" hidden="1">
      <c r="A87" s="164" t="s">
        <v>136</v>
      </c>
      <c r="B87" s="164"/>
      <c r="C87" s="164"/>
      <c r="D87" s="124" t="str">
        <f t="shared" si="5"/>
        <v> </v>
      </c>
      <c r="E87" s="100" t="str">
        <f t="shared" si="6"/>
        <v> </v>
      </c>
      <c r="F87" s="125" t="str">
        <f t="shared" si="7"/>
        <v> </v>
      </c>
      <c r="G87" s="102" t="str">
        <f t="shared" si="4"/>
        <v> </v>
      </c>
    </row>
    <row r="88" spans="1:7" ht="12.75" hidden="1">
      <c r="A88" s="164" t="s">
        <v>137</v>
      </c>
      <c r="B88" s="164"/>
      <c r="C88" s="164"/>
      <c r="D88" s="124" t="str">
        <f t="shared" si="5"/>
        <v> </v>
      </c>
      <c r="E88" s="100" t="str">
        <f t="shared" si="6"/>
        <v> </v>
      </c>
      <c r="F88" s="125" t="str">
        <f t="shared" si="7"/>
        <v> </v>
      </c>
      <c r="G88" s="102" t="str">
        <f t="shared" si="4"/>
        <v> </v>
      </c>
    </row>
    <row r="89" spans="1:7" ht="12.75" hidden="1">
      <c r="A89" s="164" t="s">
        <v>138</v>
      </c>
      <c r="B89" s="164"/>
      <c r="C89" s="164"/>
      <c r="D89" s="124" t="str">
        <f t="shared" si="5"/>
        <v> </v>
      </c>
      <c r="E89" s="100" t="str">
        <f t="shared" si="6"/>
        <v> </v>
      </c>
      <c r="F89" s="125" t="str">
        <f t="shared" si="7"/>
        <v> </v>
      </c>
      <c r="G89" s="102" t="str">
        <f t="shared" si="4"/>
        <v> </v>
      </c>
    </row>
    <row r="90" spans="1:7" ht="12.75" hidden="1">
      <c r="A90" s="164" t="s">
        <v>139</v>
      </c>
      <c r="B90" s="164"/>
      <c r="C90" s="164"/>
      <c r="D90" s="124" t="str">
        <f t="shared" si="5"/>
        <v> </v>
      </c>
      <c r="E90" s="100" t="str">
        <f t="shared" si="6"/>
        <v> </v>
      </c>
      <c r="F90" s="125" t="str">
        <f t="shared" si="7"/>
        <v> </v>
      </c>
      <c r="G90" s="102" t="str">
        <f t="shared" si="4"/>
        <v> </v>
      </c>
    </row>
    <row r="91" spans="1:7" ht="12.75" hidden="1">
      <c r="A91" s="164" t="s">
        <v>140</v>
      </c>
      <c r="B91" s="164"/>
      <c r="C91" s="164"/>
      <c r="D91" s="124" t="str">
        <f t="shared" si="5"/>
        <v> </v>
      </c>
      <c r="E91" s="100" t="str">
        <f t="shared" si="6"/>
        <v> </v>
      </c>
      <c r="F91" s="125" t="str">
        <f t="shared" si="7"/>
        <v> </v>
      </c>
      <c r="G91" s="102" t="str">
        <f t="shared" si="4"/>
        <v> </v>
      </c>
    </row>
    <row r="92" spans="1:7" ht="12.75" hidden="1">
      <c r="A92" s="164" t="s">
        <v>141</v>
      </c>
      <c r="B92" s="164"/>
      <c r="C92" s="164"/>
      <c r="D92" s="124" t="str">
        <f t="shared" si="5"/>
        <v> </v>
      </c>
      <c r="E92" s="100" t="str">
        <f t="shared" si="6"/>
        <v> </v>
      </c>
      <c r="F92" s="125" t="str">
        <f t="shared" si="7"/>
        <v> </v>
      </c>
      <c r="G92" s="102" t="str">
        <f t="shared" si="4"/>
        <v> </v>
      </c>
    </row>
    <row r="93" spans="1:7" ht="12.75" hidden="1">
      <c r="A93" s="164" t="s">
        <v>142</v>
      </c>
      <c r="B93" s="164"/>
      <c r="C93" s="164"/>
      <c r="D93" s="124" t="str">
        <f t="shared" si="5"/>
        <v> </v>
      </c>
      <c r="E93" s="100" t="str">
        <f t="shared" si="6"/>
        <v> </v>
      </c>
      <c r="F93" s="125" t="str">
        <f t="shared" si="7"/>
        <v> </v>
      </c>
      <c r="G93" s="102" t="str">
        <f t="shared" si="4"/>
        <v> </v>
      </c>
    </row>
    <row r="94" spans="1:7" ht="12.75" hidden="1">
      <c r="A94" s="164" t="s">
        <v>143</v>
      </c>
      <c r="B94" s="164"/>
      <c r="C94" s="164"/>
      <c r="D94" s="124" t="str">
        <f t="shared" si="5"/>
        <v> </v>
      </c>
      <c r="E94" s="100" t="str">
        <f t="shared" si="6"/>
        <v> </v>
      </c>
      <c r="F94" s="125" t="str">
        <f t="shared" si="7"/>
        <v> </v>
      </c>
      <c r="G94" s="102" t="str">
        <f t="shared" si="4"/>
        <v> </v>
      </c>
    </row>
    <row r="95" spans="1:7" ht="12.75" hidden="1">
      <c r="A95" s="164" t="s">
        <v>144</v>
      </c>
      <c r="B95" s="164"/>
      <c r="C95" s="164"/>
      <c r="D95" s="124" t="str">
        <f t="shared" si="5"/>
        <v> </v>
      </c>
      <c r="E95" s="100" t="str">
        <f t="shared" si="6"/>
        <v> </v>
      </c>
      <c r="F95" s="125" t="str">
        <f t="shared" si="7"/>
        <v> </v>
      </c>
      <c r="G95" s="102" t="str">
        <f t="shared" si="4"/>
        <v> </v>
      </c>
    </row>
    <row r="97" spans="1:4" ht="12.75">
      <c r="A97" s="113" t="s">
        <v>81</v>
      </c>
      <c r="B97" s="126"/>
      <c r="C97" s="126"/>
      <c r="D97" s="126"/>
    </row>
    <row r="98" spans="1:7" ht="12.75">
      <c r="A98" s="165" t="s">
        <v>119</v>
      </c>
      <c r="B98" s="165"/>
      <c r="C98" s="165"/>
      <c r="D98" s="165"/>
      <c r="E98" s="165"/>
      <c r="F98" s="165"/>
      <c r="G98" s="165"/>
    </row>
    <row r="99" spans="1:4" ht="12.75">
      <c r="A99" s="126" t="s">
        <v>82</v>
      </c>
      <c r="B99" s="126"/>
      <c r="C99" s="126"/>
      <c r="D99" s="126"/>
    </row>
    <row r="100" spans="1:4" ht="12.75">
      <c r="A100" s="126" t="s">
        <v>83</v>
      </c>
      <c r="B100" s="126"/>
      <c r="C100" s="126"/>
      <c r="D100" s="126"/>
    </row>
    <row r="101" spans="1:4" ht="12.75">
      <c r="A101" s="126" t="s">
        <v>84</v>
      </c>
      <c r="B101" s="126"/>
      <c r="C101" s="126"/>
      <c r="D101" s="126"/>
    </row>
    <row r="102" spans="1:4" ht="12.75">
      <c r="A102" s="127" t="s">
        <v>85</v>
      </c>
      <c r="B102" s="126"/>
      <c r="C102" s="126"/>
      <c r="D102" s="126"/>
    </row>
    <row r="103" spans="1:4" ht="12.75">
      <c r="A103" s="127" t="s">
        <v>86</v>
      </c>
      <c r="B103" s="126"/>
      <c r="C103" s="126"/>
      <c r="D103" s="126"/>
    </row>
    <row r="104" spans="1:4" ht="12.75">
      <c r="A104" s="127" t="s">
        <v>87</v>
      </c>
      <c r="B104" s="126"/>
      <c r="C104" s="126"/>
      <c r="D104" s="126"/>
    </row>
    <row r="105" spans="1:4" ht="12.75">
      <c r="A105" s="127" t="s">
        <v>88</v>
      </c>
      <c r="B105" s="126"/>
      <c r="C105" s="126"/>
      <c r="D105" s="126"/>
    </row>
    <row r="106" spans="1:4" ht="12.75">
      <c r="A106" s="127" t="s">
        <v>89</v>
      </c>
      <c r="B106" s="126"/>
      <c r="C106" s="126"/>
      <c r="D106" s="126"/>
    </row>
    <row r="107" spans="1:7" ht="12.75">
      <c r="A107" s="165" t="s">
        <v>145</v>
      </c>
      <c r="B107" s="165"/>
      <c r="C107" s="165"/>
      <c r="D107" s="165"/>
      <c r="E107" s="165"/>
      <c r="F107" s="165"/>
      <c r="G107" s="165"/>
    </row>
  </sheetData>
  <sheetProtection/>
  <mergeCells count="60">
    <mergeCell ref="A92:C92"/>
    <mergeCell ref="A93:C93"/>
    <mergeCell ref="A94:C94"/>
    <mergeCell ref="A95:C95"/>
    <mergeCell ref="A98:G98"/>
    <mergeCell ref="A107:G107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B1:F1"/>
    <mergeCell ref="B2:F2"/>
    <mergeCell ref="A3:G3"/>
    <mergeCell ref="F6:G6"/>
    <mergeCell ref="F7:G7"/>
    <mergeCell ref="B43:C43"/>
  </mergeCells>
  <conditionalFormatting sqref="A45:C52">
    <cfRule type="expression" priority="1" dxfId="41" stopIfTrue="1">
      <formula>VALUE(NoDPSchedule)&lt;VALUE(LEFT(A45,1))</formula>
    </cfRule>
  </conditionalFormatting>
  <conditionalFormatting sqref="A53:C95">
    <cfRule type="expression" priority="2" dxfId="41" stopIfTrue="1">
      <formula>VALUE(NoDPSchedule)&lt;VALUE(LEFT(A53,2))</formula>
    </cfRule>
  </conditionalFormatting>
  <conditionalFormatting sqref="G11 G25">
    <cfRule type="expression" priority="3" dxfId="41" stopIfTrue="1">
      <formula>G11=0</formula>
    </cfRule>
  </conditionalFormatting>
  <conditionalFormatting sqref="B11">
    <cfRule type="expression" priority="4" dxfId="41" stopIfTrue="1">
      <formula>G11=0</formula>
    </cfRule>
  </conditionalFormatting>
  <conditionalFormatting sqref="B25">
    <cfRule type="expression" priority="5" dxfId="41" stopIfTrue="1">
      <formula>G25=0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100"/>
  <sheetViews>
    <sheetView zoomScalePageLayoutView="0" workbookViewId="0" topLeftCell="A1">
      <selection activeCell="C11" sqref="C11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21.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7" ht="14.25" customHeight="1" thickTop="1">
      <c r="A1" s="2"/>
      <c r="B1" s="132" t="s">
        <v>0</v>
      </c>
      <c r="C1" s="132"/>
      <c r="D1" s="132"/>
      <c r="E1" s="132"/>
      <c r="F1" s="132"/>
      <c r="G1" s="3"/>
    </row>
    <row r="2" spans="1:7" ht="14.25" customHeight="1">
      <c r="A2" s="4"/>
      <c r="B2" s="133" t="s">
        <v>1</v>
      </c>
      <c r="C2" s="133"/>
      <c r="D2" s="133"/>
      <c r="E2" s="133"/>
      <c r="F2" s="133"/>
      <c r="G2" s="5"/>
    </row>
    <row r="3" spans="1:7" ht="30" customHeight="1">
      <c r="A3" s="134" t="s">
        <v>2</v>
      </c>
      <c r="B3" s="135"/>
      <c r="C3" s="135"/>
      <c r="D3" s="135"/>
      <c r="E3" s="135"/>
      <c r="F3" s="135"/>
      <c r="G3" s="136"/>
    </row>
    <row r="4" spans="1:7" ht="15" customHeight="1" thickBot="1">
      <c r="A4" s="6">
        <f>IF(A47&lt;=12,12,A47)</f>
        <v>24</v>
      </c>
      <c r="B4" s="7"/>
      <c r="C4" s="7"/>
      <c r="D4" s="8" t="str">
        <f>IF(A47&gt;G5,"TERM IS SUBJECT FOR APPROVAL","SAMPLE COMPUTATION ONLY")</f>
        <v>SAMPLE COMPUTATION ONLY</v>
      </c>
      <c r="E4" s="7"/>
      <c r="F4" s="7"/>
      <c r="G4" s="9"/>
    </row>
    <row r="5" ht="13.5" customHeight="1" thickTop="1">
      <c r="G5" s="10">
        <v>36</v>
      </c>
    </row>
    <row r="6" spans="1:7" ht="12.75">
      <c r="A6" s="11" t="s">
        <v>3</v>
      </c>
      <c r="B6" s="11" t="s">
        <v>4</v>
      </c>
      <c r="C6" s="11" t="s">
        <v>5</v>
      </c>
      <c r="D6" s="11" t="s">
        <v>6</v>
      </c>
      <c r="E6" s="11"/>
      <c r="F6" s="137" t="s">
        <v>7</v>
      </c>
      <c r="G6" s="137"/>
    </row>
    <row r="7" spans="1:7" ht="12.75">
      <c r="A7" s="12" t="s">
        <v>8</v>
      </c>
      <c r="B7" s="12">
        <v>601</v>
      </c>
      <c r="C7" s="12">
        <v>6</v>
      </c>
      <c r="D7" s="12">
        <v>61.2</v>
      </c>
      <c r="E7" s="12"/>
      <c r="F7" s="138" t="s">
        <v>122</v>
      </c>
      <c r="G7" s="138"/>
    </row>
    <row r="10" spans="1:7" ht="12.75">
      <c r="A10" s="13" t="s">
        <v>11</v>
      </c>
      <c r="B10" s="13"/>
      <c r="C10" s="14"/>
      <c r="D10" s="15"/>
      <c r="E10" s="15"/>
      <c r="F10" s="16" t="s">
        <v>12</v>
      </c>
      <c r="G10" s="17">
        <v>11375000</v>
      </c>
    </row>
    <row r="11" spans="1:7" ht="12.75">
      <c r="A11" s="1" t="s">
        <v>13</v>
      </c>
      <c r="B11" s="1" t="s">
        <v>14</v>
      </c>
      <c r="C11" s="18"/>
      <c r="F11" s="19"/>
      <c r="G11" s="20">
        <f>ROUND(IF(ISERROR(FIND("PARKING",Model,1)),IF(SellingPrice&gt;3199200,(G10-(G10/1.12)),0),(G10-(G10/1.12))),2)</f>
        <v>1218750</v>
      </c>
    </row>
    <row r="12" spans="1:10" ht="12.75">
      <c r="A12" s="21">
        <v>10</v>
      </c>
      <c r="B12" s="1" t="str">
        <f>CONCATENATE(A12,"% Discount on ",A39,"% SFDP")</f>
        <v>10% Discount on 10% SFDP</v>
      </c>
      <c r="F12" s="19"/>
      <c r="G12" s="22">
        <f>((G10-G11)-Discount2Value)*(PercentageDiscount/100)*(SpotDownpayment/100)</f>
        <v>101562.50000000001</v>
      </c>
      <c r="I12" s="22"/>
      <c r="J12" s="22"/>
    </row>
    <row r="13" spans="2:10" ht="12.75" hidden="1">
      <c r="B13" s="1" t="s">
        <v>15</v>
      </c>
      <c r="G13" s="22">
        <v>0</v>
      </c>
      <c r="I13" s="22"/>
      <c r="J13" s="22"/>
    </row>
    <row r="14" spans="2:10" ht="12.75" hidden="1">
      <c r="B14" s="1" t="s">
        <v>16</v>
      </c>
      <c r="G14" s="22">
        <v>0</v>
      </c>
      <c r="I14" s="22"/>
      <c r="J14" s="22"/>
    </row>
    <row r="15" spans="2:9" ht="12.75" hidden="1">
      <c r="B15" s="1" t="s">
        <v>17</v>
      </c>
      <c r="G15" s="22">
        <v>0</v>
      </c>
      <c r="I15" s="22"/>
    </row>
    <row r="16" spans="2:9" ht="12.75" hidden="1">
      <c r="B16" s="1" t="s">
        <v>18</v>
      </c>
      <c r="G16" s="22">
        <v>0</v>
      </c>
      <c r="I16" s="22"/>
    </row>
    <row r="17" spans="2:9" ht="12.75" hidden="1">
      <c r="B17" s="1" t="s">
        <v>19</v>
      </c>
      <c r="G17" s="22">
        <v>0</v>
      </c>
      <c r="I17" s="22"/>
    </row>
    <row r="18" spans="2:10" ht="12.75" hidden="1">
      <c r="B18" s="1" t="s">
        <v>20</v>
      </c>
      <c r="G18" s="22">
        <v>0</v>
      </c>
      <c r="H18" s="22"/>
      <c r="I18" s="22"/>
      <c r="J18" s="22"/>
    </row>
    <row r="19" spans="2:10" ht="12.75" hidden="1">
      <c r="B19" s="1" t="s">
        <v>21</v>
      </c>
      <c r="G19" s="22">
        <v>0</v>
      </c>
      <c r="J19" s="22"/>
    </row>
    <row r="20" spans="2:10" ht="12.75" hidden="1">
      <c r="B20" s="1" t="s">
        <v>22</v>
      </c>
      <c r="G20" s="22">
        <v>0</v>
      </c>
      <c r="J20" s="22"/>
    </row>
    <row r="21" spans="2:10" ht="12.75" hidden="1">
      <c r="B21" s="1" t="s">
        <v>23</v>
      </c>
      <c r="G21" s="22">
        <v>0</v>
      </c>
      <c r="J21" s="22"/>
    </row>
    <row r="22" spans="2:10" ht="12.75" hidden="1">
      <c r="B22" s="1" t="s">
        <v>24</v>
      </c>
      <c r="G22" s="22">
        <v>0</v>
      </c>
      <c r="J22" s="22"/>
    </row>
    <row r="23" spans="6:10" ht="13.5" customHeight="1" thickBot="1">
      <c r="F23" s="19"/>
      <c r="G23" s="23"/>
      <c r="J23" s="22"/>
    </row>
    <row r="24" spans="1:7" ht="13.5" customHeight="1" thickTop="1">
      <c r="A24" s="13" t="s">
        <v>25</v>
      </c>
      <c r="B24" s="24"/>
      <c r="C24" s="15"/>
      <c r="D24" s="15"/>
      <c r="E24" s="15"/>
      <c r="F24" s="16" t="s">
        <v>12</v>
      </c>
      <c r="G24" s="25">
        <f>(SellingPrice-G11)-SUM(G12:G22)</f>
        <v>10054687.5</v>
      </c>
    </row>
    <row r="25" spans="1:9" ht="12.75">
      <c r="A25" s="1" t="s">
        <v>26</v>
      </c>
      <c r="B25" s="1" t="s">
        <v>14</v>
      </c>
      <c r="G25" s="22">
        <f>ROUND(IF(ISERROR(FIND("PARKING",Model,1)),IF(G24&gt;3199200,G24*12%,0),G24*12%),2)</f>
        <v>1206562.5</v>
      </c>
      <c r="I25" s="22"/>
    </row>
    <row r="26" spans="1:7" ht="12.75" hidden="1">
      <c r="A26" s="21">
        <v>7</v>
      </c>
      <c r="B26" s="1" t="s">
        <v>27</v>
      </c>
      <c r="G26" s="22">
        <f>ROUND(G24*(A26/100),2)</f>
        <v>703828.13</v>
      </c>
    </row>
    <row r="27" spans="1:7" ht="12.75" hidden="1">
      <c r="A27" s="21"/>
      <c r="B27" s="1" t="s">
        <v>28</v>
      </c>
      <c r="F27" s="21">
        <f>IF(G27&gt;50000,50000,G27)</f>
        <v>0</v>
      </c>
      <c r="G27" s="22">
        <v>0</v>
      </c>
    </row>
    <row r="28" spans="1:7" ht="12.75" hidden="1">
      <c r="A28" s="21"/>
      <c r="B28" s="1" t="s">
        <v>29</v>
      </c>
      <c r="G28" s="22">
        <v>0</v>
      </c>
    </row>
    <row r="29" spans="1:7" ht="13.5" customHeight="1" thickBot="1">
      <c r="A29" s="21"/>
      <c r="B29" s="1" t="s">
        <v>27</v>
      </c>
      <c r="G29" s="22">
        <f>ROUND(SUM(G26,G28,F27),2)</f>
        <v>703828.13</v>
      </c>
    </row>
    <row r="30" spans="1:7" ht="13.5" customHeight="1" thickTop="1">
      <c r="A30" s="13" t="s">
        <v>30</v>
      </c>
      <c r="B30" s="15"/>
      <c r="C30" s="15"/>
      <c r="D30" s="15"/>
      <c r="E30" s="15"/>
      <c r="F30" s="16" t="s">
        <v>12</v>
      </c>
      <c r="G30" s="25">
        <f>G24+SUM(G25,G29)</f>
        <v>11965078.129999999</v>
      </c>
    </row>
    <row r="32" ht="12.75">
      <c r="A32" s="26" t="s">
        <v>31</v>
      </c>
    </row>
    <row r="33" spans="1:7" ht="12.75">
      <c r="A33" s="27">
        <v>20</v>
      </c>
      <c r="B33" s="1" t="str">
        <f>CONCATENATE("Downpayment ("&amp;A33&amp;"% of Selling Price)")</f>
        <v>Downpayment (20% of Selling Price)</v>
      </c>
      <c r="G33" s="22">
        <f>ROUND((G24+G25)*(A33/100),2)</f>
        <v>2252250</v>
      </c>
    </row>
    <row r="34" spans="1:7" ht="13.5" customHeight="1" thickBot="1">
      <c r="A34" s="26"/>
      <c r="B34" s="1" t="s">
        <v>32</v>
      </c>
      <c r="G34" s="22">
        <f>ROUND(G29*(A33/100),2)</f>
        <v>140765.63</v>
      </c>
    </row>
    <row r="35" spans="1:7" ht="13.5" customHeight="1" thickTop="1">
      <c r="A35" s="13" t="s">
        <v>33</v>
      </c>
      <c r="B35" s="15"/>
      <c r="C35" s="15"/>
      <c r="D35" s="15"/>
      <c r="E35" s="15"/>
      <c r="F35" s="16" t="s">
        <v>12</v>
      </c>
      <c r="G35" s="25">
        <f>SUM(G33:G34)</f>
        <v>2393015.63</v>
      </c>
    </row>
    <row r="36" spans="1:7" ht="13.5" customHeight="1" thickBot="1">
      <c r="A36" s="1" t="s">
        <v>13</v>
      </c>
      <c r="B36" s="1" t="s">
        <v>34</v>
      </c>
      <c r="F36" s="28">
        <f ca="1">NOW()</f>
        <v>43775.44727094907</v>
      </c>
      <c r="G36" s="22">
        <v>20000</v>
      </c>
    </row>
    <row r="37" spans="1:7" ht="13.5" customHeight="1" thickTop="1">
      <c r="A37" s="13" t="s">
        <v>35</v>
      </c>
      <c r="B37" s="15"/>
      <c r="C37" s="15"/>
      <c r="D37" s="15"/>
      <c r="E37" s="29"/>
      <c r="F37" s="16" t="s">
        <v>12</v>
      </c>
      <c r="G37" s="25">
        <f>G35-G36</f>
        <v>2373015.63</v>
      </c>
    </row>
    <row r="39" spans="1:10" ht="12.75">
      <c r="A39" s="21">
        <v>10</v>
      </c>
      <c r="B39" s="1" t="str">
        <f>CONCATENATE("Spot Downpayment ("&amp;A39&amp;"% of Selling Price)")</f>
        <v>Spot Downpayment (10% of Selling Price)</v>
      </c>
      <c r="E39" s="30"/>
      <c r="F39" s="28"/>
      <c r="G39" s="22">
        <f>ROUND((SUM(G24:G25)*(A39/100))-G36,2)</f>
        <v>1106125</v>
      </c>
      <c r="H39" s="22"/>
      <c r="I39" s="22"/>
      <c r="J39" s="31"/>
    </row>
    <row r="40" spans="2:10" ht="13.5" customHeight="1" thickBot="1">
      <c r="B40" s="1" t="s">
        <v>27</v>
      </c>
      <c r="E40" s="30"/>
      <c r="F40" s="28"/>
      <c r="G40" s="22">
        <f>ROUND(G29*(A39/100),2)</f>
        <v>70382.81</v>
      </c>
      <c r="J40" s="22"/>
    </row>
    <row r="41" spans="2:7" ht="13.5" customHeight="1" thickTop="1">
      <c r="B41" s="32" t="s">
        <v>36</v>
      </c>
      <c r="E41" s="30"/>
      <c r="F41" s="28">
        <f>ReservationDate+19</f>
        <v>43794.44727094907</v>
      </c>
      <c r="G41" s="33">
        <f>SUM(G39:G40)</f>
        <v>1176507.81</v>
      </c>
    </row>
    <row r="42" spans="2:7" ht="12.75">
      <c r="B42" s="34"/>
      <c r="E42" s="30"/>
      <c r="F42" s="28"/>
      <c r="G42" s="35"/>
    </row>
    <row r="43" spans="1:7" ht="12.75">
      <c r="A43" s="21">
        <f>A33-A39</f>
        <v>10</v>
      </c>
      <c r="B43" s="36" t="str">
        <f>CONCATENATE("Streched Downpayment ("&amp;A43&amp;"% of Selling Price)")</f>
        <v>Streched Downpayment (10% of Selling Price)</v>
      </c>
      <c r="E43" s="30"/>
      <c r="F43" s="28"/>
      <c r="G43" s="22">
        <f>G33-G39-ReservationFee</f>
        <v>1126125</v>
      </c>
    </row>
    <row r="44" spans="2:7" ht="13.5" customHeight="1" thickBot="1">
      <c r="B44" s="36" t="s">
        <v>27</v>
      </c>
      <c r="E44" s="30"/>
      <c r="F44" s="28"/>
      <c r="G44" s="22">
        <f>SUM(G34:G34)-G40</f>
        <v>70382.82</v>
      </c>
    </row>
    <row r="45" spans="2:7" ht="13.5" customHeight="1" thickTop="1">
      <c r="B45" s="32" t="str">
        <f>CONCATENATE("Total Streched DP and Other Charges payable in "&amp;A47&amp;" months")</f>
        <v>Total Streched DP and Other Charges payable in 24 months</v>
      </c>
      <c r="E45" s="30"/>
      <c r="F45" s="28"/>
      <c r="G45" s="33">
        <f>SUM(G43:G44)</f>
        <v>1196507.82</v>
      </c>
    </row>
    <row r="46" spans="2:7" ht="12.75">
      <c r="B46" s="36"/>
      <c r="E46" s="30"/>
      <c r="F46" s="28"/>
      <c r="G46" s="35"/>
    </row>
    <row r="47" spans="1:7" ht="25.5" customHeight="1">
      <c r="A47" s="37">
        <v>24</v>
      </c>
      <c r="B47" s="156" t="s">
        <v>37</v>
      </c>
      <c r="C47" s="156"/>
      <c r="D47" s="38" t="s">
        <v>38</v>
      </c>
      <c r="E47" s="39" t="s">
        <v>39</v>
      </c>
      <c r="F47" s="40" t="s">
        <v>27</v>
      </c>
      <c r="G47" s="41" t="s">
        <v>40</v>
      </c>
    </row>
    <row r="48" spans="1:7" ht="12.75">
      <c r="A48" s="155" t="s">
        <v>41</v>
      </c>
      <c r="B48" s="155"/>
      <c r="C48" s="155"/>
      <c r="D48" s="42">
        <f>IF(AND(DAY(F41)&gt;2,DAY(F41)&lt;19),DATE(YEAR(F41+30),MONTH(F41+30),DAY(17)),DATE(YEAR(F41+30),IF(DAY(F41)&gt;18,MONTH(F41+30)+1,MONTH(F41+30)),DAY(2)))</f>
        <v>43832</v>
      </c>
      <c r="E48" s="20">
        <f>ROUND(G43/A47,2)</f>
        <v>46921.88</v>
      </c>
      <c r="F48" s="43">
        <f>ROUND(G44/A47,2)</f>
        <v>2932.62</v>
      </c>
      <c r="G48" s="22">
        <f>SUM(E48:F48)</f>
        <v>49854.5</v>
      </c>
    </row>
    <row r="49" spans="1:7" ht="12.75">
      <c r="A49" s="155" t="s">
        <v>42</v>
      </c>
      <c r="B49" s="155"/>
      <c r="C49" s="155"/>
      <c r="D49" s="42">
        <f>IF($A$47&lt;VALUE(LEFT(A49,1))," ",DATE(YEAR(D48+30),MONTH(D48+30),DAY(D48)))</f>
        <v>43863</v>
      </c>
      <c r="E49" s="20">
        <f>IF($A$47&lt;VALUE(LEFT(A49,1))," ",IF($A$47=VALUE(LEFT(A49,1)),$G$43-($E$48*($A$47-1)),E48))</f>
        <v>46921.88</v>
      </c>
      <c r="F49" s="43">
        <f>IF($A$47&lt;VALUE(LEFT(A49,1))," ",IF($A$47=VALUE(LEFT(A49,1)),$G$44-($F$48*($A$47-1)),F48))</f>
        <v>2932.62</v>
      </c>
      <c r="G49" s="22">
        <f>IF($A$47&lt;VALUE(LEFT(A49,1))," ",SUM(E49:F49))</f>
        <v>49854.5</v>
      </c>
    </row>
    <row r="50" spans="1:7" ht="12.75">
      <c r="A50" s="155" t="s">
        <v>43</v>
      </c>
      <c r="B50" s="155"/>
      <c r="C50" s="155"/>
      <c r="D50" s="42">
        <f>IF($A$47&lt;VALUE(LEFT(A50,1))," ",DATE(YEAR(D49+30),MONTH(D49+30),DAY(D49)))</f>
        <v>43892</v>
      </c>
      <c r="E50" s="20">
        <f aca="true" t="shared" si="0" ref="E50:E56">IF($A$47&lt;VALUE(LEFT(A50,1))," ",IF($A$47=VALUE(LEFT(A50,1)),$G$43-($E$48*($A$47-1)),E49))</f>
        <v>46921.88</v>
      </c>
      <c r="F50" s="43">
        <f aca="true" t="shared" si="1" ref="F50:F56">IF($A$47&lt;VALUE(LEFT(A50,1))," ",IF($A$47=VALUE(LEFT(A50,1)),$G$44-($F$48*($A$47-1)),F49))</f>
        <v>2932.62</v>
      </c>
      <c r="G50" s="22">
        <f aca="true" t="shared" si="2" ref="G50:G56">IF($A$47&lt;VALUE(LEFT(A50,1))," ",SUM(E50:F50))</f>
        <v>49854.5</v>
      </c>
    </row>
    <row r="51" spans="1:7" ht="12.75">
      <c r="A51" s="155" t="s">
        <v>44</v>
      </c>
      <c r="B51" s="155"/>
      <c r="C51" s="155"/>
      <c r="D51" s="42">
        <f aca="true" t="shared" si="3" ref="D51:D56">IF($A$47&lt;VALUE(LEFT(A51,1))," ",DATE(YEAR(D50+30),MONTH(D50+30),DAY(D50)))</f>
        <v>43923</v>
      </c>
      <c r="E51" s="20">
        <f t="shared" si="0"/>
        <v>46921.88</v>
      </c>
      <c r="F51" s="43">
        <f t="shared" si="1"/>
        <v>2932.62</v>
      </c>
      <c r="G51" s="22">
        <f t="shared" si="2"/>
        <v>49854.5</v>
      </c>
    </row>
    <row r="52" spans="1:7" ht="12.75">
      <c r="A52" s="155" t="s">
        <v>45</v>
      </c>
      <c r="B52" s="155"/>
      <c r="C52" s="155"/>
      <c r="D52" s="42">
        <f t="shared" si="3"/>
        <v>43953</v>
      </c>
      <c r="E52" s="20">
        <f t="shared" si="0"/>
        <v>46921.88</v>
      </c>
      <c r="F52" s="43">
        <f t="shared" si="1"/>
        <v>2932.62</v>
      </c>
      <c r="G52" s="22">
        <f t="shared" si="2"/>
        <v>49854.5</v>
      </c>
    </row>
    <row r="53" spans="1:7" ht="12.75">
      <c r="A53" s="155" t="s">
        <v>46</v>
      </c>
      <c r="B53" s="155"/>
      <c r="C53" s="155"/>
      <c r="D53" s="42">
        <f t="shared" si="3"/>
        <v>43984</v>
      </c>
      <c r="E53" s="20">
        <f t="shared" si="0"/>
        <v>46921.88</v>
      </c>
      <c r="F53" s="43">
        <f t="shared" si="1"/>
        <v>2932.62</v>
      </c>
      <c r="G53" s="22">
        <f t="shared" si="2"/>
        <v>49854.5</v>
      </c>
    </row>
    <row r="54" spans="1:7" ht="12.75">
      <c r="A54" s="155" t="s">
        <v>47</v>
      </c>
      <c r="B54" s="155"/>
      <c r="C54" s="155"/>
      <c r="D54" s="42">
        <f t="shared" si="3"/>
        <v>44014</v>
      </c>
      <c r="E54" s="20">
        <f t="shared" si="0"/>
        <v>46921.88</v>
      </c>
      <c r="F54" s="43">
        <f t="shared" si="1"/>
        <v>2932.62</v>
      </c>
      <c r="G54" s="22">
        <f t="shared" si="2"/>
        <v>49854.5</v>
      </c>
    </row>
    <row r="55" spans="1:7" ht="12.75">
      <c r="A55" s="155" t="s">
        <v>48</v>
      </c>
      <c r="B55" s="155"/>
      <c r="C55" s="155"/>
      <c r="D55" s="42">
        <f t="shared" si="3"/>
        <v>44045</v>
      </c>
      <c r="E55" s="20">
        <f t="shared" si="0"/>
        <v>46921.88</v>
      </c>
      <c r="F55" s="43">
        <f t="shared" si="1"/>
        <v>2932.62</v>
      </c>
      <c r="G55" s="22">
        <f t="shared" si="2"/>
        <v>49854.5</v>
      </c>
    </row>
    <row r="56" spans="1:7" ht="12.75">
      <c r="A56" s="155" t="s">
        <v>49</v>
      </c>
      <c r="B56" s="155"/>
      <c r="C56" s="155"/>
      <c r="D56" s="42">
        <f t="shared" si="3"/>
        <v>44076</v>
      </c>
      <c r="E56" s="20">
        <f t="shared" si="0"/>
        <v>46921.88</v>
      </c>
      <c r="F56" s="43">
        <f t="shared" si="1"/>
        <v>2932.62</v>
      </c>
      <c r="G56" s="22">
        <f t="shared" si="2"/>
        <v>49854.5</v>
      </c>
    </row>
    <row r="57" spans="1:7" ht="12.75">
      <c r="A57" s="155" t="s">
        <v>50</v>
      </c>
      <c r="B57" s="155"/>
      <c r="C57" s="155"/>
      <c r="D57" s="42">
        <f>IF($A$47&lt;VALUE(LEFT(A57,2))," ",DATE(YEAR(D56+30),MONTH(D56+30),DAY(D56)))</f>
        <v>44106</v>
      </c>
      <c r="E57" s="20">
        <f>IF($A$47&lt;VALUE(LEFT(A57,2))," ",IF($A$47=VALUE(LEFT(A57,2)),$G$43-($E$48*($A$47-1)),E56))</f>
        <v>46921.88</v>
      </c>
      <c r="F57" s="43">
        <f>IF($A$47&lt;VALUE(LEFT(A57,2))," ",IF($A$47=VALUE(LEFT(A57,2)),$G$44-($F$48*($A$47-1)),F56))</f>
        <v>2932.62</v>
      </c>
      <c r="G57" s="22">
        <f>IF($A$47&lt;VALUE(LEFT(A57,2))," ",SUM(E57:F57))</f>
        <v>49854.5</v>
      </c>
    </row>
    <row r="58" spans="1:7" ht="12.75">
      <c r="A58" s="155" t="s">
        <v>51</v>
      </c>
      <c r="B58" s="155"/>
      <c r="C58" s="155"/>
      <c r="D58" s="42">
        <f aca="true" t="shared" si="4" ref="D58:D82">IF($A$47&lt;VALUE(LEFT(A58,2))," ",DATE(YEAR(D57+30),MONTH(D57+30),DAY(D57)))</f>
        <v>44137</v>
      </c>
      <c r="E58" s="20">
        <f aca="true" t="shared" si="5" ref="E58:E82">IF($A$47&lt;VALUE(LEFT(A58,2))," ",IF($A$47=VALUE(LEFT(A58,2)),$G$43-($E$48*($A$47-1)),E57))</f>
        <v>46921.88</v>
      </c>
      <c r="F58" s="43">
        <f aca="true" t="shared" si="6" ref="F58:F82">IF($A$47&lt;VALUE(LEFT(A58,2))," ",IF($A$47=VALUE(LEFT(A58,2)),$G$44-($F$48*($A$47-1)),F57))</f>
        <v>2932.62</v>
      </c>
      <c r="G58" s="22">
        <f aca="true" t="shared" si="7" ref="G58:G82">IF($A$47&lt;VALUE(LEFT(A58,2))," ",SUM(E58:F58))</f>
        <v>49854.5</v>
      </c>
    </row>
    <row r="59" spans="1:7" ht="12.75">
      <c r="A59" s="155" t="s">
        <v>52</v>
      </c>
      <c r="B59" s="155"/>
      <c r="C59" s="155"/>
      <c r="D59" s="42">
        <f t="shared" si="4"/>
        <v>44167</v>
      </c>
      <c r="E59" s="20">
        <f t="shared" si="5"/>
        <v>46921.88</v>
      </c>
      <c r="F59" s="43">
        <f t="shared" si="6"/>
        <v>2932.62</v>
      </c>
      <c r="G59" s="22">
        <f t="shared" si="7"/>
        <v>49854.5</v>
      </c>
    </row>
    <row r="60" spans="1:7" ht="12.75">
      <c r="A60" s="155" t="s">
        <v>53</v>
      </c>
      <c r="B60" s="155"/>
      <c r="C60" s="155"/>
      <c r="D60" s="42">
        <f t="shared" si="4"/>
        <v>44198</v>
      </c>
      <c r="E60" s="20">
        <f t="shared" si="5"/>
        <v>46921.88</v>
      </c>
      <c r="F60" s="43">
        <f t="shared" si="6"/>
        <v>2932.62</v>
      </c>
      <c r="G60" s="22">
        <f t="shared" si="7"/>
        <v>49854.5</v>
      </c>
    </row>
    <row r="61" spans="1:7" ht="12.75">
      <c r="A61" s="155" t="s">
        <v>54</v>
      </c>
      <c r="B61" s="155"/>
      <c r="C61" s="155"/>
      <c r="D61" s="42">
        <f t="shared" si="4"/>
        <v>44229</v>
      </c>
      <c r="E61" s="20">
        <f t="shared" si="5"/>
        <v>46921.88</v>
      </c>
      <c r="F61" s="43">
        <f t="shared" si="6"/>
        <v>2932.62</v>
      </c>
      <c r="G61" s="22">
        <f t="shared" si="7"/>
        <v>49854.5</v>
      </c>
    </row>
    <row r="62" spans="1:7" ht="12.75">
      <c r="A62" s="155" t="s">
        <v>55</v>
      </c>
      <c r="B62" s="155"/>
      <c r="C62" s="155"/>
      <c r="D62" s="42">
        <f t="shared" si="4"/>
        <v>44257</v>
      </c>
      <c r="E62" s="20">
        <f t="shared" si="5"/>
        <v>46921.88</v>
      </c>
      <c r="F62" s="43">
        <f t="shared" si="6"/>
        <v>2932.62</v>
      </c>
      <c r="G62" s="22">
        <f t="shared" si="7"/>
        <v>49854.5</v>
      </c>
    </row>
    <row r="63" spans="1:7" ht="12.75">
      <c r="A63" s="155" t="s">
        <v>56</v>
      </c>
      <c r="B63" s="155"/>
      <c r="C63" s="155"/>
      <c r="D63" s="42">
        <f t="shared" si="4"/>
        <v>44288</v>
      </c>
      <c r="E63" s="20">
        <f t="shared" si="5"/>
        <v>46921.88</v>
      </c>
      <c r="F63" s="43">
        <f t="shared" si="6"/>
        <v>2932.62</v>
      </c>
      <c r="G63" s="22">
        <f t="shared" si="7"/>
        <v>49854.5</v>
      </c>
    </row>
    <row r="64" spans="1:7" ht="12.75">
      <c r="A64" s="155" t="s">
        <v>57</v>
      </c>
      <c r="B64" s="155"/>
      <c r="C64" s="155"/>
      <c r="D64" s="42">
        <f t="shared" si="4"/>
        <v>44318</v>
      </c>
      <c r="E64" s="20">
        <f t="shared" si="5"/>
        <v>46921.88</v>
      </c>
      <c r="F64" s="43">
        <f t="shared" si="6"/>
        <v>2932.62</v>
      </c>
      <c r="G64" s="22">
        <f t="shared" si="7"/>
        <v>49854.5</v>
      </c>
    </row>
    <row r="65" spans="1:7" ht="12.75">
      <c r="A65" s="155" t="s">
        <v>58</v>
      </c>
      <c r="B65" s="155"/>
      <c r="C65" s="155"/>
      <c r="D65" s="42">
        <f t="shared" si="4"/>
        <v>44349</v>
      </c>
      <c r="E65" s="20">
        <f t="shared" si="5"/>
        <v>46921.88</v>
      </c>
      <c r="F65" s="43">
        <f t="shared" si="6"/>
        <v>2932.62</v>
      </c>
      <c r="G65" s="22">
        <f t="shared" si="7"/>
        <v>49854.5</v>
      </c>
    </row>
    <row r="66" spans="1:7" ht="12.75">
      <c r="A66" s="155" t="s">
        <v>59</v>
      </c>
      <c r="B66" s="155"/>
      <c r="C66" s="155"/>
      <c r="D66" s="42">
        <f t="shared" si="4"/>
        <v>44379</v>
      </c>
      <c r="E66" s="20">
        <f t="shared" si="5"/>
        <v>46921.88</v>
      </c>
      <c r="F66" s="43">
        <f t="shared" si="6"/>
        <v>2932.62</v>
      </c>
      <c r="G66" s="22">
        <f t="shared" si="7"/>
        <v>49854.5</v>
      </c>
    </row>
    <row r="67" spans="1:7" ht="12.75">
      <c r="A67" s="155" t="s">
        <v>60</v>
      </c>
      <c r="B67" s="155"/>
      <c r="C67" s="155"/>
      <c r="D67" s="42">
        <f t="shared" si="4"/>
        <v>44410</v>
      </c>
      <c r="E67" s="20">
        <f t="shared" si="5"/>
        <v>46921.88</v>
      </c>
      <c r="F67" s="43">
        <f t="shared" si="6"/>
        <v>2932.62</v>
      </c>
      <c r="G67" s="22">
        <f t="shared" si="7"/>
        <v>49854.5</v>
      </c>
    </row>
    <row r="68" spans="1:7" ht="12.75">
      <c r="A68" s="155" t="s">
        <v>61</v>
      </c>
      <c r="B68" s="155"/>
      <c r="C68" s="155"/>
      <c r="D68" s="42">
        <f t="shared" si="4"/>
        <v>44441</v>
      </c>
      <c r="E68" s="20">
        <f t="shared" si="5"/>
        <v>46921.88</v>
      </c>
      <c r="F68" s="43">
        <f t="shared" si="6"/>
        <v>2932.62</v>
      </c>
      <c r="G68" s="22">
        <f t="shared" si="7"/>
        <v>49854.5</v>
      </c>
    </row>
    <row r="69" spans="1:7" ht="12.75">
      <c r="A69" s="155" t="s">
        <v>62</v>
      </c>
      <c r="B69" s="155"/>
      <c r="C69" s="155"/>
      <c r="D69" s="42">
        <f t="shared" si="4"/>
        <v>44471</v>
      </c>
      <c r="E69" s="20">
        <f t="shared" si="5"/>
        <v>46921.88</v>
      </c>
      <c r="F69" s="43">
        <f t="shared" si="6"/>
        <v>2932.62</v>
      </c>
      <c r="G69" s="22">
        <f t="shared" si="7"/>
        <v>49854.5</v>
      </c>
    </row>
    <row r="70" spans="1:7" ht="12.75">
      <c r="A70" s="155" t="s">
        <v>63</v>
      </c>
      <c r="B70" s="155"/>
      <c r="C70" s="155"/>
      <c r="D70" s="42">
        <f t="shared" si="4"/>
        <v>44502</v>
      </c>
      <c r="E70" s="20">
        <f t="shared" si="5"/>
        <v>46921.88</v>
      </c>
      <c r="F70" s="43">
        <f t="shared" si="6"/>
        <v>2932.62</v>
      </c>
      <c r="G70" s="22">
        <f t="shared" si="7"/>
        <v>49854.5</v>
      </c>
    </row>
    <row r="71" spans="1:7" ht="12.75">
      <c r="A71" s="155" t="s">
        <v>64</v>
      </c>
      <c r="B71" s="155"/>
      <c r="C71" s="155"/>
      <c r="D71" s="42">
        <f t="shared" si="4"/>
        <v>44532</v>
      </c>
      <c r="E71" s="20">
        <f t="shared" si="5"/>
        <v>46921.76000000001</v>
      </c>
      <c r="F71" s="43">
        <f t="shared" si="6"/>
        <v>2932.560000000012</v>
      </c>
      <c r="G71" s="22">
        <f t="shared" si="7"/>
        <v>49854.32000000002</v>
      </c>
    </row>
    <row r="72" spans="1:7" ht="12.75" hidden="1">
      <c r="A72" s="155" t="s">
        <v>65</v>
      </c>
      <c r="B72" s="155"/>
      <c r="C72" s="155"/>
      <c r="D72" s="42" t="str">
        <f t="shared" si="4"/>
        <v> </v>
      </c>
      <c r="E72" s="20" t="str">
        <f t="shared" si="5"/>
        <v> </v>
      </c>
      <c r="F72" s="43" t="str">
        <f t="shared" si="6"/>
        <v> </v>
      </c>
      <c r="G72" s="22" t="str">
        <f t="shared" si="7"/>
        <v> </v>
      </c>
    </row>
    <row r="73" spans="1:7" ht="12.75" hidden="1">
      <c r="A73" s="155" t="s">
        <v>66</v>
      </c>
      <c r="B73" s="155"/>
      <c r="C73" s="155"/>
      <c r="D73" s="42" t="str">
        <f t="shared" si="4"/>
        <v> </v>
      </c>
      <c r="E73" s="20" t="str">
        <f t="shared" si="5"/>
        <v> </v>
      </c>
      <c r="F73" s="43" t="str">
        <f t="shared" si="6"/>
        <v> </v>
      </c>
      <c r="G73" s="22" t="str">
        <f t="shared" si="7"/>
        <v> </v>
      </c>
    </row>
    <row r="74" spans="1:7" ht="12.75" hidden="1">
      <c r="A74" s="155" t="s">
        <v>67</v>
      </c>
      <c r="B74" s="155"/>
      <c r="C74" s="155"/>
      <c r="D74" s="42" t="str">
        <f t="shared" si="4"/>
        <v> </v>
      </c>
      <c r="E74" s="20" t="str">
        <f t="shared" si="5"/>
        <v> </v>
      </c>
      <c r="F74" s="43" t="str">
        <f t="shared" si="6"/>
        <v> </v>
      </c>
      <c r="G74" s="22" t="str">
        <f t="shared" si="7"/>
        <v> </v>
      </c>
    </row>
    <row r="75" spans="1:7" ht="12.75" hidden="1">
      <c r="A75" s="155" t="s">
        <v>68</v>
      </c>
      <c r="B75" s="155"/>
      <c r="C75" s="155"/>
      <c r="D75" s="42" t="str">
        <f t="shared" si="4"/>
        <v> </v>
      </c>
      <c r="E75" s="20" t="str">
        <f t="shared" si="5"/>
        <v> </v>
      </c>
      <c r="F75" s="43" t="str">
        <f t="shared" si="6"/>
        <v> </v>
      </c>
      <c r="G75" s="22" t="str">
        <f t="shared" si="7"/>
        <v> </v>
      </c>
    </row>
    <row r="76" spans="1:7" ht="12.75" hidden="1">
      <c r="A76" s="155" t="s">
        <v>69</v>
      </c>
      <c r="B76" s="155"/>
      <c r="C76" s="155"/>
      <c r="D76" s="42" t="str">
        <f t="shared" si="4"/>
        <v> </v>
      </c>
      <c r="E76" s="20" t="str">
        <f t="shared" si="5"/>
        <v> </v>
      </c>
      <c r="F76" s="43" t="str">
        <f t="shared" si="6"/>
        <v> </v>
      </c>
      <c r="G76" s="22" t="str">
        <f t="shared" si="7"/>
        <v> </v>
      </c>
    </row>
    <row r="77" spans="1:7" ht="12.75" hidden="1">
      <c r="A77" s="155" t="s">
        <v>70</v>
      </c>
      <c r="B77" s="155"/>
      <c r="C77" s="155"/>
      <c r="D77" s="42" t="str">
        <f t="shared" si="4"/>
        <v> </v>
      </c>
      <c r="E77" s="20" t="str">
        <f t="shared" si="5"/>
        <v> </v>
      </c>
      <c r="F77" s="43" t="str">
        <f t="shared" si="6"/>
        <v> </v>
      </c>
      <c r="G77" s="22" t="str">
        <f t="shared" si="7"/>
        <v> </v>
      </c>
    </row>
    <row r="78" spans="1:7" ht="12.75" hidden="1">
      <c r="A78" s="155" t="s">
        <v>71</v>
      </c>
      <c r="B78" s="155"/>
      <c r="C78" s="155"/>
      <c r="D78" s="42" t="str">
        <f t="shared" si="4"/>
        <v> </v>
      </c>
      <c r="E78" s="20" t="str">
        <f t="shared" si="5"/>
        <v> </v>
      </c>
      <c r="F78" s="43" t="str">
        <f t="shared" si="6"/>
        <v> </v>
      </c>
      <c r="G78" s="22" t="str">
        <f t="shared" si="7"/>
        <v> </v>
      </c>
    </row>
    <row r="79" spans="1:7" ht="12.75" hidden="1">
      <c r="A79" s="155" t="s">
        <v>72</v>
      </c>
      <c r="B79" s="155"/>
      <c r="C79" s="155"/>
      <c r="D79" s="42" t="str">
        <f t="shared" si="4"/>
        <v> </v>
      </c>
      <c r="E79" s="20" t="str">
        <f t="shared" si="5"/>
        <v> </v>
      </c>
      <c r="F79" s="43" t="str">
        <f t="shared" si="6"/>
        <v> </v>
      </c>
      <c r="G79" s="22" t="str">
        <f t="shared" si="7"/>
        <v> </v>
      </c>
    </row>
    <row r="80" spans="1:7" ht="12.75" hidden="1">
      <c r="A80" s="155" t="s">
        <v>73</v>
      </c>
      <c r="B80" s="155"/>
      <c r="C80" s="155"/>
      <c r="D80" s="42" t="str">
        <f t="shared" si="4"/>
        <v> </v>
      </c>
      <c r="E80" s="20" t="str">
        <f t="shared" si="5"/>
        <v> </v>
      </c>
      <c r="F80" s="43" t="str">
        <f t="shared" si="6"/>
        <v> </v>
      </c>
      <c r="G80" s="22" t="str">
        <f t="shared" si="7"/>
        <v> </v>
      </c>
    </row>
    <row r="81" spans="1:7" ht="12.75" hidden="1">
      <c r="A81" s="155" t="s">
        <v>74</v>
      </c>
      <c r="B81" s="155"/>
      <c r="C81" s="155"/>
      <c r="D81" s="42" t="str">
        <f t="shared" si="4"/>
        <v> </v>
      </c>
      <c r="E81" s="20" t="str">
        <f t="shared" si="5"/>
        <v> </v>
      </c>
      <c r="F81" s="43" t="str">
        <f t="shared" si="6"/>
        <v> </v>
      </c>
      <c r="G81" s="22" t="str">
        <f t="shared" si="7"/>
        <v> </v>
      </c>
    </row>
    <row r="82" spans="1:7" ht="12.75" hidden="1">
      <c r="A82" s="155" t="s">
        <v>75</v>
      </c>
      <c r="B82" s="155"/>
      <c r="C82" s="155"/>
      <c r="D82" s="42" t="str">
        <f t="shared" si="4"/>
        <v> </v>
      </c>
      <c r="E82" s="20" t="str">
        <f t="shared" si="5"/>
        <v> </v>
      </c>
      <c r="F82" s="43" t="str">
        <f t="shared" si="6"/>
        <v> </v>
      </c>
      <c r="G82" s="22" t="str">
        <f t="shared" si="7"/>
        <v> </v>
      </c>
    </row>
    <row r="83" spans="1:7" ht="12.75" hidden="1">
      <c r="A83" s="155" t="s">
        <v>76</v>
      </c>
      <c r="B83" s="155"/>
      <c r="C83" s="155"/>
      <c r="D83" s="42" t="str">
        <f>IF($A$47&lt;VALUE(LEFT(A83,2))," ",DATE(YEAR(D82+30),MONTH(D82+30),DAY(D82)))</f>
        <v> </v>
      </c>
      <c r="E83" s="20" t="str">
        <f>IF($A$47&lt;VALUE(LEFT(A83,2))," ",IF($A$47=VALUE(LEFT(A83,2)),$G$43-($E$48*($A$47-1)),E82))</f>
        <v> </v>
      </c>
      <c r="F83" s="43" t="str">
        <f>IF($A$47&lt;VALUE(LEFT(A83,2))," ",IF($A$47=VALUE(LEFT(A83,2)),$G$44-($F$48*($A$47-1)),F82))</f>
        <v> </v>
      </c>
      <c r="G83" s="22" t="str">
        <f>IF($A$47&lt;VALUE(LEFT(A83,2))," ",SUM(E83:F83))</f>
        <v> </v>
      </c>
    </row>
    <row r="84" spans="2:7" ht="12.75">
      <c r="B84" s="34"/>
      <c r="E84" s="30"/>
      <c r="F84" s="28"/>
      <c r="G84" s="35"/>
    </row>
    <row r="85" ht="12.75">
      <c r="A85" s="26" t="s">
        <v>77</v>
      </c>
    </row>
    <row r="86" spans="2:6" ht="12.75">
      <c r="B86" s="1" t="s">
        <v>78</v>
      </c>
      <c r="F86" s="44">
        <f>D66</f>
        <v>44379</v>
      </c>
    </row>
    <row r="87" spans="2:9" ht="12.75">
      <c r="B87" s="1" t="s">
        <v>79</v>
      </c>
      <c r="F87" s="44">
        <f>DATE(YEAR(MAX(D48:D71)+30),MONTH(MAX(D48:D71)+30),DAY(F86))</f>
        <v>44563</v>
      </c>
      <c r="G87" s="45">
        <f>ROUND(((G24+G25)*((100-A33)/100))+(G29*(100-A33)/100),2)</f>
        <v>9572062.5</v>
      </c>
      <c r="I87" s="22"/>
    </row>
    <row r="88" ht="12.75">
      <c r="B88" s="1" t="s">
        <v>80</v>
      </c>
    </row>
    <row r="90" spans="1:4" ht="12.75">
      <c r="A90" s="32" t="s">
        <v>81</v>
      </c>
      <c r="B90" s="46"/>
      <c r="C90" s="46"/>
      <c r="D90" s="46"/>
    </row>
    <row r="91" spans="1:7" ht="12.75">
      <c r="A91" s="128" t="s">
        <v>119</v>
      </c>
      <c r="B91" s="128"/>
      <c r="C91" s="128"/>
      <c r="D91" s="128"/>
      <c r="E91" s="128"/>
      <c r="F91" s="128"/>
      <c r="G91" s="128"/>
    </row>
    <row r="92" spans="1:4" ht="12.75">
      <c r="A92" s="46" t="s">
        <v>82</v>
      </c>
      <c r="B92" s="46"/>
      <c r="C92" s="46"/>
      <c r="D92" s="46"/>
    </row>
    <row r="93" spans="1:4" ht="12.75">
      <c r="A93" s="46" t="s">
        <v>83</v>
      </c>
      <c r="B93" s="46"/>
      <c r="C93" s="46"/>
      <c r="D93" s="46"/>
    </row>
    <row r="94" spans="1:4" ht="12.75">
      <c r="A94" s="46" t="s">
        <v>84</v>
      </c>
      <c r="B94" s="46"/>
      <c r="C94" s="46"/>
      <c r="D94" s="46"/>
    </row>
    <row r="95" spans="1:4" ht="12.75">
      <c r="A95" s="47" t="s">
        <v>85</v>
      </c>
      <c r="B95" s="46"/>
      <c r="C95" s="46"/>
      <c r="D95" s="46"/>
    </row>
    <row r="96" spans="1:4" ht="12.75">
      <c r="A96" s="47" t="s">
        <v>86</v>
      </c>
      <c r="B96" s="46"/>
      <c r="C96" s="46"/>
      <c r="D96" s="46"/>
    </row>
    <row r="97" spans="1:4" ht="12.75">
      <c r="A97" s="47" t="s">
        <v>87</v>
      </c>
      <c r="B97" s="46"/>
      <c r="C97" s="46"/>
      <c r="D97" s="46"/>
    </row>
    <row r="98" spans="1:4" ht="12.75">
      <c r="A98" s="47" t="s">
        <v>88</v>
      </c>
      <c r="B98" s="46"/>
      <c r="C98" s="46"/>
      <c r="D98" s="46"/>
    </row>
    <row r="99" spans="1:4" ht="12.75">
      <c r="A99" s="47" t="s">
        <v>89</v>
      </c>
      <c r="B99" s="46"/>
      <c r="C99" s="46"/>
      <c r="D99" s="46"/>
    </row>
    <row r="100" spans="1:7" ht="12.75">
      <c r="A100" s="128" t="s">
        <v>118</v>
      </c>
      <c r="B100" s="128"/>
      <c r="C100" s="128"/>
      <c r="D100" s="128"/>
      <c r="E100" s="128"/>
      <c r="F100" s="128"/>
      <c r="G100" s="128"/>
    </row>
  </sheetData>
  <sheetProtection/>
  <mergeCells count="44">
    <mergeCell ref="B1:F1"/>
    <mergeCell ref="B2:F2"/>
    <mergeCell ref="A3:G3"/>
    <mergeCell ref="F6:G6"/>
    <mergeCell ref="F7:G7"/>
    <mergeCell ref="B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91:G91"/>
    <mergeCell ref="A100:G100"/>
    <mergeCell ref="A78:C78"/>
    <mergeCell ref="A79:C79"/>
    <mergeCell ref="A80:C80"/>
    <mergeCell ref="A81:C81"/>
    <mergeCell ref="A82:C82"/>
    <mergeCell ref="A83:C83"/>
  </mergeCells>
  <conditionalFormatting sqref="B11 B25">
    <cfRule type="expression" priority="1" dxfId="41" stopIfTrue="1">
      <formula>G11=0</formula>
    </cfRule>
  </conditionalFormatting>
  <conditionalFormatting sqref="A49:C56">
    <cfRule type="expression" priority="2" dxfId="41" stopIfTrue="1">
      <formula>VALUE(NoDPSchedule)&lt;VALUE(LEFT(A49,1))</formula>
    </cfRule>
  </conditionalFormatting>
  <conditionalFormatting sqref="A57:C83">
    <cfRule type="expression" priority="3" dxfId="41" stopIfTrue="1">
      <formula>VALUE(NoDPSchedule)&lt;VALUE(LEFT(A57,2))</formula>
    </cfRule>
  </conditionalFormatting>
  <conditionalFormatting sqref="G11 G25">
    <cfRule type="expression" priority="4" dxfId="41" stopIfTrue="1">
      <formula>G11=0</formula>
    </cfRule>
  </conditionalFormatting>
  <conditionalFormatting sqref="D4">
    <cfRule type="expression" priority="5" dxfId="42" stopIfTrue="1">
      <formula>G5&lt;=TODAY()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AVIDA Magnaye, Noralyn E.</cp:lastModifiedBy>
  <cp:lastPrinted>2019-08-21T07:49:49Z</cp:lastPrinted>
  <dcterms:created xsi:type="dcterms:W3CDTF">2019-02-22T08:42:58Z</dcterms:created>
  <dcterms:modified xsi:type="dcterms:W3CDTF">2019-11-06T02:44:26Z</dcterms:modified>
  <cp:category/>
  <cp:version/>
  <cp:contentType/>
  <cp:contentStatus/>
</cp:coreProperties>
</file>